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\Uzivatele\lorenc\VÝBĚROVÉ ŘÍZENÍ 25\ZŠ Skřečoň - rekonstrukce plynové kotelny\E-zak VŘ\PD ZŠ Skřečoň - rekonstrukce plynové kotelny\"/>
    </mc:Choice>
  </mc:AlternateContent>
  <bookViews>
    <workbookView xWindow="0" yWindow="0" windowWidth="23040" windowHeight="10815" activeTab="2"/>
  </bookViews>
  <sheets>
    <sheet name="Stavební rozpočet" sheetId="1" r:id="rId1"/>
    <sheet name="Výkaz výměr" sheetId="2" r:id="rId2"/>
    <sheet name="Krycí list rozpočtu" sheetId="3" r:id="rId3"/>
    <sheet name="VORN" sheetId="4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I35" i="4" l="1"/>
  <c r="I36" i="4" s="1"/>
  <c r="I24" i="3" s="1"/>
  <c r="I26" i="4"/>
  <c r="I25" i="4"/>
  <c r="I18" i="3" s="1"/>
  <c r="I24" i="4"/>
  <c r="I17" i="3" s="1"/>
  <c r="I23" i="4"/>
  <c r="I16" i="3" s="1"/>
  <c r="I22" i="4"/>
  <c r="I21" i="4"/>
  <c r="I14" i="3" s="1"/>
  <c r="I17" i="4"/>
  <c r="F16" i="3" s="1"/>
  <c r="I16" i="4"/>
  <c r="I15" i="4"/>
  <c r="I10" i="4"/>
  <c r="F10" i="4"/>
  <c r="C10" i="4"/>
  <c r="C8" i="4"/>
  <c r="F6" i="4"/>
  <c r="C6" i="4"/>
  <c r="F4" i="4"/>
  <c r="C4" i="4"/>
  <c r="F2" i="4"/>
  <c r="C2" i="4"/>
  <c r="I19" i="3"/>
  <c r="I15" i="3"/>
  <c r="F15" i="3"/>
  <c r="F14" i="3"/>
  <c r="I10" i="3"/>
  <c r="F10" i="3"/>
  <c r="C10" i="3"/>
  <c r="C8" i="3"/>
  <c r="F6" i="3"/>
  <c r="C6" i="3"/>
  <c r="F4" i="3"/>
  <c r="C4" i="3"/>
  <c r="F2" i="3"/>
  <c r="C2" i="3"/>
  <c r="E8" i="2"/>
  <c r="B8" i="2"/>
  <c r="E6" i="2"/>
  <c r="B6" i="2"/>
  <c r="E4" i="2"/>
  <c r="B4" i="2"/>
  <c r="E2" i="2"/>
  <c r="B2" i="2"/>
  <c r="BJ301" i="1"/>
  <c r="BF301" i="1"/>
  <c r="BD301" i="1"/>
  <c r="AP301" i="1"/>
  <c r="BI301" i="1" s="1"/>
  <c r="AO301" i="1"/>
  <c r="BH301" i="1" s="1"/>
  <c r="AK301" i="1"/>
  <c r="AJ301" i="1"/>
  <c r="AH301" i="1"/>
  <c r="AG301" i="1"/>
  <c r="AF301" i="1"/>
  <c r="AE301" i="1"/>
  <c r="AD301" i="1"/>
  <c r="AC301" i="1"/>
  <c r="AB301" i="1"/>
  <c r="Z301" i="1"/>
  <c r="J301" i="1"/>
  <c r="I301" i="1"/>
  <c r="BJ300" i="1"/>
  <c r="BF300" i="1"/>
  <c r="BD300" i="1"/>
  <c r="AW300" i="1"/>
  <c r="AP300" i="1"/>
  <c r="AO300" i="1"/>
  <c r="BH300" i="1" s="1"/>
  <c r="AK300" i="1"/>
  <c r="AJ300" i="1"/>
  <c r="AS299" i="1" s="1"/>
  <c r="AH300" i="1"/>
  <c r="AG300" i="1"/>
  <c r="AF300" i="1"/>
  <c r="AE300" i="1"/>
  <c r="AD300" i="1"/>
  <c r="AC300" i="1"/>
  <c r="AB300" i="1"/>
  <c r="Z300" i="1"/>
  <c r="J300" i="1"/>
  <c r="AL300" i="1" s="1"/>
  <c r="H300" i="1"/>
  <c r="AT299" i="1"/>
  <c r="BJ298" i="1"/>
  <c r="BF298" i="1"/>
  <c r="BD298" i="1"/>
  <c r="AX298" i="1"/>
  <c r="AP298" i="1"/>
  <c r="I298" i="1" s="1"/>
  <c r="AO298" i="1"/>
  <c r="BH298" i="1" s="1"/>
  <c r="AF298" i="1" s="1"/>
  <c r="AK298" i="1"/>
  <c r="AJ298" i="1"/>
  <c r="AH298" i="1"/>
  <c r="AE298" i="1"/>
  <c r="AD298" i="1"/>
  <c r="AC298" i="1"/>
  <c r="AB298" i="1"/>
  <c r="Z298" i="1"/>
  <c r="J298" i="1"/>
  <c r="AL298" i="1" s="1"/>
  <c r="BJ297" i="1"/>
  <c r="BF297" i="1"/>
  <c r="BD297" i="1"/>
  <c r="AW297" i="1"/>
  <c r="AP297" i="1"/>
  <c r="BI297" i="1" s="1"/>
  <c r="AG297" i="1" s="1"/>
  <c r="AO297" i="1"/>
  <c r="BH297" i="1" s="1"/>
  <c r="AF297" i="1" s="1"/>
  <c r="AK297" i="1"/>
  <c r="AJ297" i="1"/>
  <c r="AH297" i="1"/>
  <c r="AE297" i="1"/>
  <c r="AD297" i="1"/>
  <c r="AC297" i="1"/>
  <c r="AB297" i="1"/>
  <c r="Z297" i="1"/>
  <c r="J297" i="1"/>
  <c r="AL297" i="1" s="1"/>
  <c r="H297" i="1"/>
  <c r="BJ296" i="1"/>
  <c r="BF296" i="1"/>
  <c r="BD296" i="1"/>
  <c r="AX296" i="1"/>
  <c r="AP296" i="1"/>
  <c r="BI296" i="1" s="1"/>
  <c r="AG296" i="1" s="1"/>
  <c r="AO296" i="1"/>
  <c r="AK296" i="1"/>
  <c r="AJ296" i="1"/>
  <c r="AH296" i="1"/>
  <c r="AE296" i="1"/>
  <c r="AD296" i="1"/>
  <c r="AC296" i="1"/>
  <c r="AB296" i="1"/>
  <c r="Z296" i="1"/>
  <c r="J296" i="1"/>
  <c r="AL296" i="1" s="1"/>
  <c r="I296" i="1"/>
  <c r="BJ295" i="1"/>
  <c r="BF295" i="1"/>
  <c r="BD295" i="1"/>
  <c r="AX295" i="1"/>
  <c r="AP295" i="1"/>
  <c r="BI295" i="1" s="1"/>
  <c r="AG295" i="1" s="1"/>
  <c r="AO295" i="1"/>
  <c r="H295" i="1" s="1"/>
  <c r="AL295" i="1"/>
  <c r="AK295" i="1"/>
  <c r="AJ295" i="1"/>
  <c r="AH295" i="1"/>
  <c r="AE295" i="1"/>
  <c r="AD295" i="1"/>
  <c r="AC295" i="1"/>
  <c r="AB295" i="1"/>
  <c r="Z295" i="1"/>
  <c r="J295" i="1"/>
  <c r="I295" i="1"/>
  <c r="BJ294" i="1"/>
  <c r="BF294" i="1"/>
  <c r="BD294" i="1"/>
  <c r="AP294" i="1"/>
  <c r="I294" i="1" s="1"/>
  <c r="AO294" i="1"/>
  <c r="AK294" i="1"/>
  <c r="AJ294" i="1"/>
  <c r="AH294" i="1"/>
  <c r="AE294" i="1"/>
  <c r="AD294" i="1"/>
  <c r="AC294" i="1"/>
  <c r="AB294" i="1"/>
  <c r="Z294" i="1"/>
  <c r="J294" i="1"/>
  <c r="AL294" i="1" s="1"/>
  <c r="BJ293" i="1"/>
  <c r="BI293" i="1"/>
  <c r="AG293" i="1" s="1"/>
  <c r="BF293" i="1"/>
  <c r="BD293" i="1"/>
  <c r="AP293" i="1"/>
  <c r="AO293" i="1"/>
  <c r="BH293" i="1" s="1"/>
  <c r="AF293" i="1" s="1"/>
  <c r="AK293" i="1"/>
  <c r="AJ293" i="1"/>
  <c r="AH293" i="1"/>
  <c r="AE293" i="1"/>
  <c r="AD293" i="1"/>
  <c r="AC293" i="1"/>
  <c r="AB293" i="1"/>
  <c r="Z293" i="1"/>
  <c r="J293" i="1"/>
  <c r="AL293" i="1" s="1"/>
  <c r="BJ292" i="1"/>
  <c r="BF292" i="1"/>
  <c r="BD292" i="1"/>
  <c r="AP292" i="1"/>
  <c r="BI292" i="1" s="1"/>
  <c r="AG292" i="1" s="1"/>
  <c r="AO292" i="1"/>
  <c r="BH292" i="1" s="1"/>
  <c r="AF292" i="1" s="1"/>
  <c r="AL292" i="1"/>
  <c r="AK292" i="1"/>
  <c r="AJ292" i="1"/>
  <c r="AH292" i="1"/>
  <c r="AE292" i="1"/>
  <c r="AD292" i="1"/>
  <c r="AC292" i="1"/>
  <c r="AB292" i="1"/>
  <c r="Z292" i="1"/>
  <c r="J292" i="1"/>
  <c r="I292" i="1"/>
  <c r="H292" i="1"/>
  <c r="BJ291" i="1"/>
  <c r="BF291" i="1"/>
  <c r="BD291" i="1"/>
  <c r="AX291" i="1"/>
  <c r="AW291" i="1"/>
  <c r="AP291" i="1"/>
  <c r="BI291" i="1" s="1"/>
  <c r="AG291" i="1" s="1"/>
  <c r="AO291" i="1"/>
  <c r="BH291" i="1" s="1"/>
  <c r="AF291" i="1" s="1"/>
  <c r="AK291" i="1"/>
  <c r="AJ291" i="1"/>
  <c r="AH291" i="1"/>
  <c r="AE291" i="1"/>
  <c r="AD291" i="1"/>
  <c r="AC291" i="1"/>
  <c r="AB291" i="1"/>
  <c r="Z291" i="1"/>
  <c r="J291" i="1"/>
  <c r="I291" i="1"/>
  <c r="H291" i="1"/>
  <c r="BJ289" i="1"/>
  <c r="BF289" i="1"/>
  <c r="BD289" i="1"/>
  <c r="AW289" i="1"/>
  <c r="AP289" i="1"/>
  <c r="BI289" i="1" s="1"/>
  <c r="AC289" i="1" s="1"/>
  <c r="AO289" i="1"/>
  <c r="BH289" i="1" s="1"/>
  <c r="AK289" i="1"/>
  <c r="AJ289" i="1"/>
  <c r="AH289" i="1"/>
  <c r="AG289" i="1"/>
  <c r="AF289" i="1"/>
  <c r="AE289" i="1"/>
  <c r="AD289" i="1"/>
  <c r="AB289" i="1"/>
  <c r="Z289" i="1"/>
  <c r="J289" i="1"/>
  <c r="AL289" i="1" s="1"/>
  <c r="I289" i="1"/>
  <c r="H289" i="1"/>
  <c r="BJ288" i="1"/>
  <c r="BF288" i="1"/>
  <c r="BD288" i="1"/>
  <c r="AP288" i="1"/>
  <c r="BI288" i="1" s="1"/>
  <c r="AC288" i="1" s="1"/>
  <c r="AO288" i="1"/>
  <c r="AK288" i="1"/>
  <c r="AJ288" i="1"/>
  <c r="AH288" i="1"/>
  <c r="AG288" i="1"/>
  <c r="AF288" i="1"/>
  <c r="AE288" i="1"/>
  <c r="AD288" i="1"/>
  <c r="Z288" i="1"/>
  <c r="J288" i="1"/>
  <c r="AL288" i="1" s="1"/>
  <c r="I288" i="1"/>
  <c r="BJ287" i="1"/>
  <c r="BF287" i="1"/>
  <c r="BD287" i="1"/>
  <c r="AP287" i="1"/>
  <c r="BI287" i="1" s="1"/>
  <c r="AG287" i="1" s="1"/>
  <c r="AO287" i="1"/>
  <c r="BH287" i="1" s="1"/>
  <c r="AF287" i="1" s="1"/>
  <c r="AK287" i="1"/>
  <c r="AJ287" i="1"/>
  <c r="AH287" i="1"/>
  <c r="AE287" i="1"/>
  <c r="AD287" i="1"/>
  <c r="AC287" i="1"/>
  <c r="AB287" i="1"/>
  <c r="Z287" i="1"/>
  <c r="J287" i="1"/>
  <c r="AL287" i="1" s="1"/>
  <c r="I287" i="1"/>
  <c r="BJ286" i="1"/>
  <c r="BF286" i="1"/>
  <c r="BD286" i="1"/>
  <c r="AP286" i="1"/>
  <c r="AO286" i="1"/>
  <c r="BH286" i="1" s="1"/>
  <c r="AB286" i="1" s="1"/>
  <c r="AK286" i="1"/>
  <c r="AJ286" i="1"/>
  <c r="AH286" i="1"/>
  <c r="AG286" i="1"/>
  <c r="AF286" i="1"/>
  <c r="AE286" i="1"/>
  <c r="AD286" i="1"/>
  <c r="Z286" i="1"/>
  <c r="J286" i="1"/>
  <c r="AL286" i="1" s="1"/>
  <c r="H286" i="1"/>
  <c r="BJ284" i="1"/>
  <c r="BF284" i="1"/>
  <c r="BD284" i="1"/>
  <c r="AW284" i="1"/>
  <c r="AP284" i="1"/>
  <c r="BI284" i="1" s="1"/>
  <c r="AG284" i="1" s="1"/>
  <c r="AO284" i="1"/>
  <c r="BH284" i="1" s="1"/>
  <c r="AK284" i="1"/>
  <c r="AJ284" i="1"/>
  <c r="AH284" i="1"/>
  <c r="AF284" i="1"/>
  <c r="AE284" i="1"/>
  <c r="AD284" i="1"/>
  <c r="AC284" i="1"/>
  <c r="AB284" i="1"/>
  <c r="Z284" i="1"/>
  <c r="J284" i="1"/>
  <c r="AL284" i="1" s="1"/>
  <c r="I284" i="1"/>
  <c r="H284" i="1"/>
  <c r="BJ282" i="1"/>
  <c r="BF282" i="1"/>
  <c r="BD282" i="1"/>
  <c r="AW282" i="1"/>
  <c r="AP282" i="1"/>
  <c r="AO282" i="1"/>
  <c r="BH282" i="1" s="1"/>
  <c r="AF282" i="1" s="1"/>
  <c r="AK282" i="1"/>
  <c r="AJ282" i="1"/>
  <c r="AH282" i="1"/>
  <c r="AE282" i="1"/>
  <c r="AD282" i="1"/>
  <c r="AC282" i="1"/>
  <c r="AB282" i="1"/>
  <c r="Z282" i="1"/>
  <c r="J282" i="1"/>
  <c r="AL282" i="1" s="1"/>
  <c r="H282" i="1"/>
  <c r="BJ281" i="1"/>
  <c r="BH281" i="1"/>
  <c r="AF281" i="1" s="1"/>
  <c r="BF281" i="1"/>
  <c r="BD281" i="1"/>
  <c r="AP281" i="1"/>
  <c r="AO281" i="1"/>
  <c r="AK281" i="1"/>
  <c r="AJ281" i="1"/>
  <c r="AH281" i="1"/>
  <c r="AE281" i="1"/>
  <c r="AD281" i="1"/>
  <c r="AC281" i="1"/>
  <c r="AB281" i="1"/>
  <c r="Z281" i="1"/>
  <c r="J281" i="1"/>
  <c r="AL281" i="1" s="1"/>
  <c r="BJ280" i="1"/>
  <c r="BF280" i="1"/>
  <c r="BD280" i="1"/>
  <c r="AP280" i="1"/>
  <c r="AO280" i="1"/>
  <c r="AK280" i="1"/>
  <c r="AJ280" i="1"/>
  <c r="AH280" i="1"/>
  <c r="AE280" i="1"/>
  <c r="AD280" i="1"/>
  <c r="AC280" i="1"/>
  <c r="AB280" i="1"/>
  <c r="Z280" i="1"/>
  <c r="J280" i="1"/>
  <c r="AL280" i="1" s="1"/>
  <c r="BJ279" i="1"/>
  <c r="BF279" i="1"/>
  <c r="BD279" i="1"/>
  <c r="AP279" i="1"/>
  <c r="BI279" i="1" s="1"/>
  <c r="AG279" i="1" s="1"/>
  <c r="AO279" i="1"/>
  <c r="AK279" i="1"/>
  <c r="AJ279" i="1"/>
  <c r="AH279" i="1"/>
  <c r="AE279" i="1"/>
  <c r="AD279" i="1"/>
  <c r="AC279" i="1"/>
  <c r="AB279" i="1"/>
  <c r="Z279" i="1"/>
  <c r="J279" i="1"/>
  <c r="AL279" i="1" s="1"/>
  <c r="I279" i="1"/>
  <c r="H279" i="1"/>
  <c r="BJ278" i="1"/>
  <c r="BF278" i="1"/>
  <c r="BD278" i="1"/>
  <c r="AX278" i="1"/>
  <c r="AP278" i="1"/>
  <c r="BI278" i="1" s="1"/>
  <c r="AO278" i="1"/>
  <c r="BH278" i="1" s="1"/>
  <c r="AF278" i="1" s="1"/>
  <c r="AL278" i="1"/>
  <c r="AK278" i="1"/>
  <c r="AJ278" i="1"/>
  <c r="AH278" i="1"/>
  <c r="AG278" i="1"/>
  <c r="AE278" i="1"/>
  <c r="AD278" i="1"/>
  <c r="AC278" i="1"/>
  <c r="AB278" i="1"/>
  <c r="Z278" i="1"/>
  <c r="J278" i="1"/>
  <c r="I278" i="1"/>
  <c r="H278" i="1"/>
  <c r="BJ277" i="1"/>
  <c r="BF277" i="1"/>
  <c r="BD277" i="1"/>
  <c r="AX277" i="1"/>
  <c r="AP277" i="1"/>
  <c r="BI277" i="1" s="1"/>
  <c r="AG277" i="1" s="1"/>
  <c r="AO277" i="1"/>
  <c r="AK277" i="1"/>
  <c r="AJ277" i="1"/>
  <c r="AH277" i="1"/>
  <c r="AE277" i="1"/>
  <c r="AD277" i="1"/>
  <c r="AC277" i="1"/>
  <c r="AB277" i="1"/>
  <c r="Z277" i="1"/>
  <c r="J277" i="1"/>
  <c r="AL277" i="1" s="1"/>
  <c r="I277" i="1"/>
  <c r="BJ276" i="1"/>
  <c r="BF276" i="1"/>
  <c r="BD276" i="1"/>
  <c r="AP276" i="1"/>
  <c r="AO276" i="1"/>
  <c r="BH276" i="1" s="1"/>
  <c r="AF276" i="1" s="1"/>
  <c r="AK276" i="1"/>
  <c r="AJ276" i="1"/>
  <c r="AH276" i="1"/>
  <c r="AE276" i="1"/>
  <c r="AD276" i="1"/>
  <c r="AC276" i="1"/>
  <c r="AB276" i="1"/>
  <c r="Z276" i="1"/>
  <c r="J276" i="1"/>
  <c r="AL276" i="1" s="1"/>
  <c r="H276" i="1"/>
  <c r="BJ275" i="1"/>
  <c r="BF275" i="1"/>
  <c r="BD275" i="1"/>
  <c r="AW275" i="1"/>
  <c r="AP275" i="1"/>
  <c r="BI275" i="1" s="1"/>
  <c r="AG275" i="1" s="1"/>
  <c r="AO275" i="1"/>
  <c r="BH275" i="1" s="1"/>
  <c r="AF275" i="1" s="1"/>
  <c r="AK275" i="1"/>
  <c r="AJ275" i="1"/>
  <c r="AH275" i="1"/>
  <c r="AE275" i="1"/>
  <c r="AD275" i="1"/>
  <c r="AC275" i="1"/>
  <c r="AB275" i="1"/>
  <c r="Z275" i="1"/>
  <c r="J275" i="1"/>
  <c r="AL275" i="1" s="1"/>
  <c r="H275" i="1"/>
  <c r="BJ274" i="1"/>
  <c r="BF274" i="1"/>
  <c r="BD274" i="1"/>
  <c r="AP274" i="1"/>
  <c r="BI274" i="1" s="1"/>
  <c r="AG274" i="1" s="1"/>
  <c r="AO274" i="1"/>
  <c r="AK274" i="1"/>
  <c r="AJ274" i="1"/>
  <c r="AH274" i="1"/>
  <c r="AE274" i="1"/>
  <c r="AD274" i="1"/>
  <c r="AC274" i="1"/>
  <c r="AB274" i="1"/>
  <c r="Z274" i="1"/>
  <c r="J274" i="1"/>
  <c r="AL274" i="1" s="1"/>
  <c r="I274" i="1"/>
  <c r="BJ273" i="1"/>
  <c r="BF273" i="1"/>
  <c r="BD273" i="1"/>
  <c r="AP273" i="1"/>
  <c r="BI273" i="1" s="1"/>
  <c r="AG273" i="1" s="1"/>
  <c r="AO273" i="1"/>
  <c r="BH273" i="1" s="1"/>
  <c r="AF273" i="1" s="1"/>
  <c r="AK273" i="1"/>
  <c r="AJ273" i="1"/>
  <c r="AH273" i="1"/>
  <c r="AE273" i="1"/>
  <c r="AD273" i="1"/>
  <c r="AC273" i="1"/>
  <c r="AB273" i="1"/>
  <c r="Z273" i="1"/>
  <c r="J273" i="1"/>
  <c r="AL273" i="1" s="1"/>
  <c r="I273" i="1"/>
  <c r="BJ272" i="1"/>
  <c r="BF272" i="1"/>
  <c r="BD272" i="1"/>
  <c r="AP272" i="1"/>
  <c r="AO272" i="1"/>
  <c r="BH272" i="1" s="1"/>
  <c r="AF272" i="1" s="1"/>
  <c r="AK272" i="1"/>
  <c r="AJ272" i="1"/>
  <c r="AH272" i="1"/>
  <c r="AE272" i="1"/>
  <c r="AD272" i="1"/>
  <c r="AC272" i="1"/>
  <c r="AB272" i="1"/>
  <c r="Z272" i="1"/>
  <c r="J272" i="1"/>
  <c r="AL272" i="1" s="1"/>
  <c r="H272" i="1"/>
  <c r="BJ271" i="1"/>
  <c r="BF271" i="1"/>
  <c r="BD271" i="1"/>
  <c r="AX271" i="1"/>
  <c r="AP271" i="1"/>
  <c r="BI271" i="1" s="1"/>
  <c r="AG271" i="1" s="1"/>
  <c r="AO271" i="1"/>
  <c r="BH271" i="1" s="1"/>
  <c r="AK271" i="1"/>
  <c r="AJ271" i="1"/>
  <c r="AH271" i="1"/>
  <c r="AF271" i="1"/>
  <c r="AE271" i="1"/>
  <c r="AD271" i="1"/>
  <c r="AC271" i="1"/>
  <c r="AB271" i="1"/>
  <c r="Z271" i="1"/>
  <c r="J271" i="1"/>
  <c r="AL271" i="1" s="1"/>
  <c r="I271" i="1"/>
  <c r="H271" i="1"/>
  <c r="BJ270" i="1"/>
  <c r="BF270" i="1"/>
  <c r="BD270" i="1"/>
  <c r="AP270" i="1"/>
  <c r="BI270" i="1" s="1"/>
  <c r="AG270" i="1" s="1"/>
  <c r="AO270" i="1"/>
  <c r="AK270" i="1"/>
  <c r="AJ270" i="1"/>
  <c r="AH270" i="1"/>
  <c r="AE270" i="1"/>
  <c r="AD270" i="1"/>
  <c r="AC270" i="1"/>
  <c r="AB270" i="1"/>
  <c r="Z270" i="1"/>
  <c r="J270" i="1"/>
  <c r="AL270" i="1" s="1"/>
  <c r="I270" i="1"/>
  <c r="BJ269" i="1"/>
  <c r="BF269" i="1"/>
  <c r="BD269" i="1"/>
  <c r="AP269" i="1"/>
  <c r="BI269" i="1" s="1"/>
  <c r="AG269" i="1" s="1"/>
  <c r="AO269" i="1"/>
  <c r="BH269" i="1" s="1"/>
  <c r="AF269" i="1" s="1"/>
  <c r="AK269" i="1"/>
  <c r="AJ269" i="1"/>
  <c r="AH269" i="1"/>
  <c r="AE269" i="1"/>
  <c r="AD269" i="1"/>
  <c r="AC269" i="1"/>
  <c r="AB269" i="1"/>
  <c r="Z269" i="1"/>
  <c r="J269" i="1"/>
  <c r="AL269" i="1" s="1"/>
  <c r="BJ268" i="1"/>
  <c r="BF268" i="1"/>
  <c r="BD268" i="1"/>
  <c r="AW268" i="1"/>
  <c r="AP268" i="1"/>
  <c r="AO268" i="1"/>
  <c r="BH268" i="1" s="1"/>
  <c r="AF268" i="1" s="1"/>
  <c r="AK268" i="1"/>
  <c r="AJ268" i="1"/>
  <c r="AH268" i="1"/>
  <c r="AE268" i="1"/>
  <c r="AD268" i="1"/>
  <c r="AC268" i="1"/>
  <c r="AB268" i="1"/>
  <c r="Z268" i="1"/>
  <c r="J268" i="1"/>
  <c r="AL268" i="1" s="1"/>
  <c r="I268" i="1"/>
  <c r="H268" i="1"/>
  <c r="BJ267" i="1"/>
  <c r="BF267" i="1"/>
  <c r="BD267" i="1"/>
  <c r="AP267" i="1"/>
  <c r="BI267" i="1" s="1"/>
  <c r="AG267" i="1" s="1"/>
  <c r="AO267" i="1"/>
  <c r="AK267" i="1"/>
  <c r="AJ267" i="1"/>
  <c r="AH267" i="1"/>
  <c r="AE267" i="1"/>
  <c r="AD267" i="1"/>
  <c r="AC267" i="1"/>
  <c r="AB267" i="1"/>
  <c r="Z267" i="1"/>
  <c r="J267" i="1"/>
  <c r="AL267" i="1" s="1"/>
  <c r="BJ266" i="1"/>
  <c r="BI266" i="1"/>
  <c r="AG266" i="1" s="1"/>
  <c r="BF266" i="1"/>
  <c r="BD266" i="1"/>
  <c r="AP266" i="1"/>
  <c r="AO266" i="1"/>
  <c r="BH266" i="1" s="1"/>
  <c r="AK266" i="1"/>
  <c r="AJ266" i="1"/>
  <c r="AH266" i="1"/>
  <c r="AF266" i="1"/>
  <c r="AE266" i="1"/>
  <c r="AD266" i="1"/>
  <c r="AC266" i="1"/>
  <c r="AB266" i="1"/>
  <c r="Z266" i="1"/>
  <c r="J266" i="1"/>
  <c r="AL266" i="1" s="1"/>
  <c r="BJ265" i="1"/>
  <c r="BF265" i="1"/>
  <c r="BD265" i="1"/>
  <c r="AP265" i="1"/>
  <c r="BI265" i="1" s="1"/>
  <c r="AG265" i="1" s="1"/>
  <c r="AO265" i="1"/>
  <c r="AK265" i="1"/>
  <c r="AJ265" i="1"/>
  <c r="AH265" i="1"/>
  <c r="AE265" i="1"/>
  <c r="AD265" i="1"/>
  <c r="AC265" i="1"/>
  <c r="AB265" i="1"/>
  <c r="Z265" i="1"/>
  <c r="J265" i="1"/>
  <c r="AL265" i="1" s="1"/>
  <c r="I265" i="1"/>
  <c r="BJ264" i="1"/>
  <c r="BF264" i="1"/>
  <c r="BD264" i="1"/>
  <c r="AP264" i="1"/>
  <c r="BI264" i="1" s="1"/>
  <c r="AO264" i="1"/>
  <c r="H264" i="1" s="1"/>
  <c r="AL264" i="1"/>
  <c r="AK264" i="1"/>
  <c r="AJ264" i="1"/>
  <c r="AH264" i="1"/>
  <c r="AG264" i="1"/>
  <c r="AE264" i="1"/>
  <c r="AD264" i="1"/>
  <c r="AC264" i="1"/>
  <c r="AB264" i="1"/>
  <c r="Z264" i="1"/>
  <c r="J264" i="1"/>
  <c r="I264" i="1"/>
  <c r="BJ263" i="1"/>
  <c r="BF263" i="1"/>
  <c r="BD263" i="1"/>
  <c r="AP263" i="1"/>
  <c r="I263" i="1" s="1"/>
  <c r="AO263" i="1"/>
  <c r="AK263" i="1"/>
  <c r="AJ263" i="1"/>
  <c r="AH263" i="1"/>
  <c r="AE263" i="1"/>
  <c r="AD263" i="1"/>
  <c r="AC263" i="1"/>
  <c r="AB263" i="1"/>
  <c r="Z263" i="1"/>
  <c r="J263" i="1"/>
  <c r="AL263" i="1" s="1"/>
  <c r="BJ262" i="1"/>
  <c r="BF262" i="1"/>
  <c r="BD262" i="1"/>
  <c r="AP262" i="1"/>
  <c r="AO262" i="1"/>
  <c r="BH262" i="1" s="1"/>
  <c r="AK262" i="1"/>
  <c r="AJ262" i="1"/>
  <c r="AH262" i="1"/>
  <c r="AG262" i="1"/>
  <c r="AF262" i="1"/>
  <c r="AE262" i="1"/>
  <c r="AD262" i="1"/>
  <c r="AB262" i="1"/>
  <c r="Z262" i="1"/>
  <c r="J262" i="1"/>
  <c r="AL262" i="1" s="1"/>
  <c r="H262" i="1"/>
  <c r="BJ261" i="1"/>
  <c r="BF261" i="1"/>
  <c r="BD261" i="1"/>
  <c r="AP261" i="1"/>
  <c r="BI261" i="1" s="1"/>
  <c r="AO261" i="1"/>
  <c r="BH261" i="1" s="1"/>
  <c r="AB261" i="1" s="1"/>
  <c r="AL261" i="1"/>
  <c r="AK261" i="1"/>
  <c r="AJ261" i="1"/>
  <c r="AH261" i="1"/>
  <c r="AG261" i="1"/>
  <c r="AF261" i="1"/>
  <c r="AE261" i="1"/>
  <c r="AD261" i="1"/>
  <c r="AC261" i="1"/>
  <c r="Z261" i="1"/>
  <c r="J261" i="1"/>
  <c r="I261" i="1"/>
  <c r="H261" i="1"/>
  <c r="BJ260" i="1"/>
  <c r="BF260" i="1"/>
  <c r="BD260" i="1"/>
  <c r="AP260" i="1"/>
  <c r="BI260" i="1" s="1"/>
  <c r="AC260" i="1" s="1"/>
  <c r="AO260" i="1"/>
  <c r="AK260" i="1"/>
  <c r="AJ260" i="1"/>
  <c r="AH260" i="1"/>
  <c r="AG260" i="1"/>
  <c r="AF260" i="1"/>
  <c r="AE260" i="1"/>
  <c r="AD260" i="1"/>
  <c r="Z260" i="1"/>
  <c r="J260" i="1"/>
  <c r="AL260" i="1" s="1"/>
  <c r="BJ259" i="1"/>
  <c r="BI259" i="1"/>
  <c r="AC259" i="1" s="1"/>
  <c r="BH259" i="1"/>
  <c r="AB259" i="1" s="1"/>
  <c r="BF259" i="1"/>
  <c r="BD259" i="1"/>
  <c r="AX259" i="1"/>
  <c r="AP259" i="1"/>
  <c r="I259" i="1" s="1"/>
  <c r="AO259" i="1"/>
  <c r="AK259" i="1"/>
  <c r="AJ259" i="1"/>
  <c r="AH259" i="1"/>
  <c r="AG259" i="1"/>
  <c r="AF259" i="1"/>
  <c r="AE259" i="1"/>
  <c r="AD259" i="1"/>
  <c r="Z259" i="1"/>
  <c r="J259" i="1"/>
  <c r="AL259" i="1" s="1"/>
  <c r="BJ258" i="1"/>
  <c r="BF258" i="1"/>
  <c r="BD258" i="1"/>
  <c r="AP258" i="1"/>
  <c r="BI258" i="1" s="1"/>
  <c r="AG258" i="1" s="1"/>
  <c r="AO258" i="1"/>
  <c r="BH258" i="1" s="1"/>
  <c r="AK258" i="1"/>
  <c r="AJ258" i="1"/>
  <c r="AH258" i="1"/>
  <c r="AF258" i="1"/>
  <c r="AE258" i="1"/>
  <c r="AD258" i="1"/>
  <c r="AC258" i="1"/>
  <c r="AB258" i="1"/>
  <c r="Z258" i="1"/>
  <c r="J258" i="1"/>
  <c r="AL258" i="1" s="1"/>
  <c r="H258" i="1"/>
  <c r="BJ257" i="1"/>
  <c r="BF257" i="1"/>
  <c r="BD257" i="1"/>
  <c r="AW257" i="1"/>
  <c r="AP257" i="1"/>
  <c r="BI257" i="1" s="1"/>
  <c r="AG257" i="1" s="1"/>
  <c r="AO257" i="1"/>
  <c r="BH257" i="1" s="1"/>
  <c r="AL257" i="1"/>
  <c r="AK257" i="1"/>
  <c r="AJ257" i="1"/>
  <c r="AH257" i="1"/>
  <c r="AF257" i="1"/>
  <c r="AE257" i="1"/>
  <c r="AD257" i="1"/>
  <c r="AC257" i="1"/>
  <c r="AB257" i="1"/>
  <c r="Z257" i="1"/>
  <c r="J257" i="1"/>
  <c r="I257" i="1"/>
  <c r="H257" i="1"/>
  <c r="BJ256" i="1"/>
  <c r="BF256" i="1"/>
  <c r="BD256" i="1"/>
  <c r="AP256" i="1"/>
  <c r="AO256" i="1"/>
  <c r="H256" i="1" s="1"/>
  <c r="AK256" i="1"/>
  <c r="AJ256" i="1"/>
  <c r="AH256" i="1"/>
  <c r="AE256" i="1"/>
  <c r="AD256" i="1"/>
  <c r="AC256" i="1"/>
  <c r="AB256" i="1"/>
  <c r="Z256" i="1"/>
  <c r="J256" i="1"/>
  <c r="AL256" i="1" s="1"/>
  <c r="BJ255" i="1"/>
  <c r="BF255" i="1"/>
  <c r="BD255" i="1"/>
  <c r="AP255" i="1"/>
  <c r="I255" i="1" s="1"/>
  <c r="AO255" i="1"/>
  <c r="AK255" i="1"/>
  <c r="AJ255" i="1"/>
  <c r="AH255" i="1"/>
  <c r="AE255" i="1"/>
  <c r="AD255" i="1"/>
  <c r="AC255" i="1"/>
  <c r="AB255" i="1"/>
  <c r="Z255" i="1"/>
  <c r="J255" i="1"/>
  <c r="AL255" i="1" s="1"/>
  <c r="BJ254" i="1"/>
  <c r="BF254" i="1"/>
  <c r="BD254" i="1"/>
  <c r="AP254" i="1"/>
  <c r="AO254" i="1"/>
  <c r="AK254" i="1"/>
  <c r="AJ254" i="1"/>
  <c r="AH254" i="1"/>
  <c r="AE254" i="1"/>
  <c r="AD254" i="1"/>
  <c r="AC254" i="1"/>
  <c r="AB254" i="1"/>
  <c r="Z254" i="1"/>
  <c r="J254" i="1"/>
  <c r="AL254" i="1" s="1"/>
  <c r="BJ253" i="1"/>
  <c r="BF253" i="1"/>
  <c r="BD253" i="1"/>
  <c r="AW253" i="1"/>
  <c r="AP253" i="1"/>
  <c r="AO253" i="1"/>
  <c r="BH253" i="1" s="1"/>
  <c r="AF253" i="1" s="1"/>
  <c r="AK253" i="1"/>
  <c r="AJ253" i="1"/>
  <c r="AH253" i="1"/>
  <c r="AE253" i="1"/>
  <c r="AD253" i="1"/>
  <c r="AC253" i="1"/>
  <c r="AB253" i="1"/>
  <c r="Z253" i="1"/>
  <c r="J253" i="1"/>
  <c r="AL253" i="1" s="1"/>
  <c r="H253" i="1"/>
  <c r="BJ252" i="1"/>
  <c r="BH252" i="1"/>
  <c r="AF252" i="1" s="1"/>
  <c r="BF252" i="1"/>
  <c r="BD252" i="1"/>
  <c r="AX252" i="1"/>
  <c r="AW252" i="1"/>
  <c r="AP252" i="1"/>
  <c r="BI252" i="1" s="1"/>
  <c r="AG252" i="1" s="1"/>
  <c r="AO252" i="1"/>
  <c r="H252" i="1" s="1"/>
  <c r="AK252" i="1"/>
  <c r="AJ252" i="1"/>
  <c r="AH252" i="1"/>
  <c r="AE252" i="1"/>
  <c r="AD252" i="1"/>
  <c r="AC252" i="1"/>
  <c r="AB252" i="1"/>
  <c r="Z252" i="1"/>
  <c r="J252" i="1"/>
  <c r="AL252" i="1" s="1"/>
  <c r="I252" i="1"/>
  <c r="BJ251" i="1"/>
  <c r="BF251" i="1"/>
  <c r="BD251" i="1"/>
  <c r="AP251" i="1"/>
  <c r="I251" i="1" s="1"/>
  <c r="AO251" i="1"/>
  <c r="BH251" i="1" s="1"/>
  <c r="AF251" i="1" s="1"/>
  <c r="AK251" i="1"/>
  <c r="AJ251" i="1"/>
  <c r="AH251" i="1"/>
  <c r="AE251" i="1"/>
  <c r="AD251" i="1"/>
  <c r="AC251" i="1"/>
  <c r="AB251" i="1"/>
  <c r="Z251" i="1"/>
  <c r="J251" i="1"/>
  <c r="AL251" i="1" s="1"/>
  <c r="BJ250" i="1"/>
  <c r="BI250" i="1"/>
  <c r="AG250" i="1" s="1"/>
  <c r="BF250" i="1"/>
  <c r="BD250" i="1"/>
  <c r="AP250" i="1"/>
  <c r="AO250" i="1"/>
  <c r="BH250" i="1" s="1"/>
  <c r="AK250" i="1"/>
  <c r="AJ250" i="1"/>
  <c r="AH250" i="1"/>
  <c r="AF250" i="1"/>
  <c r="AE250" i="1"/>
  <c r="AD250" i="1"/>
  <c r="AC250" i="1"/>
  <c r="AB250" i="1"/>
  <c r="Z250" i="1"/>
  <c r="J250" i="1"/>
  <c r="AL250" i="1" s="1"/>
  <c r="BJ249" i="1"/>
  <c r="BF249" i="1"/>
  <c r="BD249" i="1"/>
  <c r="AP249" i="1"/>
  <c r="BI249" i="1" s="1"/>
  <c r="AG249" i="1" s="1"/>
  <c r="AO249" i="1"/>
  <c r="AK249" i="1"/>
  <c r="AJ249" i="1"/>
  <c r="AH249" i="1"/>
  <c r="AE249" i="1"/>
  <c r="AD249" i="1"/>
  <c r="AC249" i="1"/>
  <c r="AB249" i="1"/>
  <c r="Z249" i="1"/>
  <c r="J249" i="1"/>
  <c r="AL249" i="1" s="1"/>
  <c r="I249" i="1"/>
  <c r="BJ248" i="1"/>
  <c r="BF248" i="1"/>
  <c r="BD248" i="1"/>
  <c r="AX248" i="1"/>
  <c r="AP248" i="1"/>
  <c r="BI248" i="1" s="1"/>
  <c r="AO248" i="1"/>
  <c r="H248" i="1" s="1"/>
  <c r="AL248" i="1"/>
  <c r="AK248" i="1"/>
  <c r="AJ248" i="1"/>
  <c r="AH248" i="1"/>
  <c r="AG248" i="1"/>
  <c r="AE248" i="1"/>
  <c r="AD248" i="1"/>
  <c r="AC248" i="1"/>
  <c r="AB248" i="1"/>
  <c r="Z248" i="1"/>
  <c r="J248" i="1"/>
  <c r="I248" i="1"/>
  <c r="BJ247" i="1"/>
  <c r="BF247" i="1"/>
  <c r="BD247" i="1"/>
  <c r="AP247" i="1"/>
  <c r="I247" i="1" s="1"/>
  <c r="AO247" i="1"/>
  <c r="AK247" i="1"/>
  <c r="AJ247" i="1"/>
  <c r="AH247" i="1"/>
  <c r="AE247" i="1"/>
  <c r="AD247" i="1"/>
  <c r="AC247" i="1"/>
  <c r="AB247" i="1"/>
  <c r="Z247" i="1"/>
  <c r="J247" i="1"/>
  <c r="AL247" i="1" s="1"/>
  <c r="BJ246" i="1"/>
  <c r="BF246" i="1"/>
  <c r="BD246" i="1"/>
  <c r="AP246" i="1"/>
  <c r="AO246" i="1"/>
  <c r="BH246" i="1" s="1"/>
  <c r="AK246" i="1"/>
  <c r="AJ246" i="1"/>
  <c r="AH246" i="1"/>
  <c r="AF246" i="1"/>
  <c r="AE246" i="1"/>
  <c r="AD246" i="1"/>
  <c r="AC246" i="1"/>
  <c r="AB246" i="1"/>
  <c r="Z246" i="1"/>
  <c r="J246" i="1"/>
  <c r="AL246" i="1" s="1"/>
  <c r="H246" i="1"/>
  <c r="BJ244" i="1"/>
  <c r="BF244" i="1"/>
  <c r="BD244" i="1"/>
  <c r="AP244" i="1"/>
  <c r="I244" i="1" s="1"/>
  <c r="AO244" i="1"/>
  <c r="AK244" i="1"/>
  <c r="AJ244" i="1"/>
  <c r="AH244" i="1"/>
  <c r="AG244" i="1"/>
  <c r="AF244" i="1"/>
  <c r="AE244" i="1"/>
  <c r="AD244" i="1"/>
  <c r="Z244" i="1"/>
  <c r="J244" i="1"/>
  <c r="AL244" i="1" s="1"/>
  <c r="BJ243" i="1"/>
  <c r="BF243" i="1"/>
  <c r="BD243" i="1"/>
  <c r="AP243" i="1"/>
  <c r="AO243" i="1"/>
  <c r="AK243" i="1"/>
  <c r="AJ243" i="1"/>
  <c r="AH243" i="1"/>
  <c r="AE243" i="1"/>
  <c r="AD243" i="1"/>
  <c r="AC243" i="1"/>
  <c r="AB243" i="1"/>
  <c r="Z243" i="1"/>
  <c r="J243" i="1"/>
  <c r="AL243" i="1" s="1"/>
  <c r="BJ242" i="1"/>
  <c r="BF242" i="1"/>
  <c r="BD242" i="1"/>
  <c r="AW242" i="1"/>
  <c r="AP242" i="1"/>
  <c r="AO242" i="1"/>
  <c r="BH242" i="1" s="1"/>
  <c r="AF242" i="1" s="1"/>
  <c r="AK242" i="1"/>
  <c r="AJ242" i="1"/>
  <c r="AH242" i="1"/>
  <c r="AE242" i="1"/>
  <c r="AD242" i="1"/>
  <c r="AC242" i="1"/>
  <c r="AB242" i="1"/>
  <c r="Z242" i="1"/>
  <c r="J242" i="1"/>
  <c r="AL242" i="1" s="1"/>
  <c r="H242" i="1"/>
  <c r="BJ241" i="1"/>
  <c r="BH241" i="1"/>
  <c r="AF241" i="1" s="1"/>
  <c r="BF241" i="1"/>
  <c r="BD241" i="1"/>
  <c r="AX241" i="1"/>
  <c r="AW241" i="1"/>
  <c r="AP241" i="1"/>
  <c r="BI241" i="1" s="1"/>
  <c r="AG241" i="1" s="1"/>
  <c r="AO241" i="1"/>
  <c r="AK241" i="1"/>
  <c r="AJ241" i="1"/>
  <c r="AH241" i="1"/>
  <c r="AE241" i="1"/>
  <c r="AD241" i="1"/>
  <c r="AC241" i="1"/>
  <c r="AB241" i="1"/>
  <c r="Z241" i="1"/>
  <c r="J241" i="1"/>
  <c r="AL241" i="1" s="1"/>
  <c r="I241" i="1"/>
  <c r="H241" i="1"/>
  <c r="AT240" i="1"/>
  <c r="BJ239" i="1"/>
  <c r="Z239" i="1" s="1"/>
  <c r="BF239" i="1"/>
  <c r="BD239" i="1"/>
  <c r="AW239" i="1"/>
  <c r="AP239" i="1"/>
  <c r="AX239" i="1" s="1"/>
  <c r="AO239" i="1"/>
  <c r="BH239" i="1" s="1"/>
  <c r="AL239" i="1"/>
  <c r="AK239" i="1"/>
  <c r="AJ239" i="1"/>
  <c r="AH239" i="1"/>
  <c r="AG239" i="1"/>
  <c r="AF239" i="1"/>
  <c r="AE239" i="1"/>
  <c r="AD239" i="1"/>
  <c r="AC239" i="1"/>
  <c r="AB239" i="1"/>
  <c r="J239" i="1"/>
  <c r="H239" i="1"/>
  <c r="BJ238" i="1"/>
  <c r="Z238" i="1" s="1"/>
  <c r="BH238" i="1"/>
  <c r="BF238" i="1"/>
  <c r="BD238" i="1"/>
  <c r="AX238" i="1"/>
  <c r="AW238" i="1"/>
  <c r="BC238" i="1" s="1"/>
  <c r="AP238" i="1"/>
  <c r="BI238" i="1" s="1"/>
  <c r="AO238" i="1"/>
  <c r="AL238" i="1"/>
  <c r="AK238" i="1"/>
  <c r="AT236" i="1" s="1"/>
  <c r="AJ238" i="1"/>
  <c r="AH238" i="1"/>
  <c r="AG238" i="1"/>
  <c r="AF238" i="1"/>
  <c r="AE238" i="1"/>
  <c r="AD238" i="1"/>
  <c r="AC238" i="1"/>
  <c r="AB238" i="1"/>
  <c r="J238" i="1"/>
  <c r="I238" i="1"/>
  <c r="H238" i="1"/>
  <c r="BJ237" i="1"/>
  <c r="Z237" i="1" s="1"/>
  <c r="BF237" i="1"/>
  <c r="BD237" i="1"/>
  <c r="AX237" i="1"/>
  <c r="AP237" i="1"/>
  <c r="BI237" i="1" s="1"/>
  <c r="AO237" i="1"/>
  <c r="H237" i="1" s="1"/>
  <c r="AL237" i="1"/>
  <c r="AU236" i="1" s="1"/>
  <c r="AK237" i="1"/>
  <c r="AJ237" i="1"/>
  <c r="AS236" i="1" s="1"/>
  <c r="AH237" i="1"/>
  <c r="AG237" i="1"/>
  <c r="AF237" i="1"/>
  <c r="AE237" i="1"/>
  <c r="AD237" i="1"/>
  <c r="AC237" i="1"/>
  <c r="AB237" i="1"/>
  <c r="J237" i="1"/>
  <c r="J236" i="1" s="1"/>
  <c r="I237" i="1"/>
  <c r="H236" i="1"/>
  <c r="BJ235" i="1"/>
  <c r="Z235" i="1" s="1"/>
  <c r="BF235" i="1"/>
  <c r="BD235" i="1"/>
  <c r="AP235" i="1"/>
  <c r="AO235" i="1"/>
  <c r="BH235" i="1" s="1"/>
  <c r="AK235" i="1"/>
  <c r="AJ235" i="1"/>
  <c r="AH235" i="1"/>
  <c r="AG235" i="1"/>
  <c r="AF235" i="1"/>
  <c r="AE235" i="1"/>
  <c r="AD235" i="1"/>
  <c r="AC235" i="1"/>
  <c r="AB235" i="1"/>
  <c r="J235" i="1"/>
  <c r="H235" i="1"/>
  <c r="BJ234" i="1"/>
  <c r="Z234" i="1" s="1"/>
  <c r="BF234" i="1"/>
  <c r="BD234" i="1"/>
  <c r="AP234" i="1"/>
  <c r="BI234" i="1" s="1"/>
  <c r="AO234" i="1"/>
  <c r="AK234" i="1"/>
  <c r="AT233" i="1" s="1"/>
  <c r="AJ234" i="1"/>
  <c r="AS233" i="1" s="1"/>
  <c r="AH234" i="1"/>
  <c r="AG234" i="1"/>
  <c r="AF234" i="1"/>
  <c r="AE234" i="1"/>
  <c r="AD234" i="1"/>
  <c r="AC234" i="1"/>
  <c r="AB234" i="1"/>
  <c r="J234" i="1"/>
  <c r="AL234" i="1" s="1"/>
  <c r="I234" i="1"/>
  <c r="BJ232" i="1"/>
  <c r="Z232" i="1" s="1"/>
  <c r="BF232" i="1"/>
  <c r="BD232" i="1"/>
  <c r="AP232" i="1"/>
  <c r="AX232" i="1" s="1"/>
  <c r="AO232" i="1"/>
  <c r="BH232" i="1" s="1"/>
  <c r="AK232" i="1"/>
  <c r="AJ232" i="1"/>
  <c r="AH232" i="1"/>
  <c r="AG232" i="1"/>
  <c r="AF232" i="1"/>
  <c r="AE232" i="1"/>
  <c r="AD232" i="1"/>
  <c r="AC232" i="1"/>
  <c r="AB232" i="1"/>
  <c r="J232" i="1"/>
  <c r="AL232" i="1" s="1"/>
  <c r="BJ231" i="1"/>
  <c r="Z231" i="1" s="1"/>
  <c r="BF231" i="1"/>
  <c r="BD231" i="1"/>
  <c r="AW231" i="1"/>
  <c r="AP231" i="1"/>
  <c r="BI231" i="1" s="1"/>
  <c r="AO231" i="1"/>
  <c r="BH231" i="1" s="1"/>
  <c r="AL231" i="1"/>
  <c r="AU230" i="1" s="1"/>
  <c r="AK231" i="1"/>
  <c r="AT230" i="1" s="1"/>
  <c r="AJ231" i="1"/>
  <c r="AH231" i="1"/>
  <c r="AG231" i="1"/>
  <c r="AF231" i="1"/>
  <c r="AE231" i="1"/>
  <c r="AD231" i="1"/>
  <c r="AC231" i="1"/>
  <c r="AB231" i="1"/>
  <c r="J231" i="1"/>
  <c r="I231" i="1"/>
  <c r="H231" i="1"/>
  <c r="J230" i="1"/>
  <c r="BJ229" i="1"/>
  <c r="BF229" i="1"/>
  <c r="BD229" i="1"/>
  <c r="AP229" i="1"/>
  <c r="AX229" i="1" s="1"/>
  <c r="AO229" i="1"/>
  <c r="BH229" i="1" s="1"/>
  <c r="AK229" i="1"/>
  <c r="AJ229" i="1"/>
  <c r="AS227" i="1" s="1"/>
  <c r="AH229" i="1"/>
  <c r="AG229" i="1"/>
  <c r="AF229" i="1"/>
  <c r="AE229" i="1"/>
  <c r="AD229" i="1"/>
  <c r="AC229" i="1"/>
  <c r="AB229" i="1"/>
  <c r="Z229" i="1"/>
  <c r="J229" i="1"/>
  <c r="AL229" i="1" s="1"/>
  <c r="H229" i="1"/>
  <c r="BJ228" i="1"/>
  <c r="Z228" i="1" s="1"/>
  <c r="BF228" i="1"/>
  <c r="BD228" i="1"/>
  <c r="AP228" i="1"/>
  <c r="BI228" i="1" s="1"/>
  <c r="AO228" i="1"/>
  <c r="BH228" i="1" s="1"/>
  <c r="AL228" i="1"/>
  <c r="AK228" i="1"/>
  <c r="AT227" i="1" s="1"/>
  <c r="AJ228" i="1"/>
  <c r="AH228" i="1"/>
  <c r="AG228" i="1"/>
  <c r="AF228" i="1"/>
  <c r="AE228" i="1"/>
  <c r="AD228" i="1"/>
  <c r="AC228" i="1"/>
  <c r="AB228" i="1"/>
  <c r="J228" i="1"/>
  <c r="J227" i="1" s="1"/>
  <c r="I228" i="1"/>
  <c r="H228" i="1"/>
  <c r="H227" i="1" s="1"/>
  <c r="BJ226" i="1"/>
  <c r="BF226" i="1"/>
  <c r="BD226" i="1"/>
  <c r="AP226" i="1"/>
  <c r="AX226" i="1" s="1"/>
  <c r="AO226" i="1"/>
  <c r="BH226" i="1" s="1"/>
  <c r="AK226" i="1"/>
  <c r="AJ226" i="1"/>
  <c r="AS224" i="1" s="1"/>
  <c r="AH226" i="1"/>
  <c r="AG226" i="1"/>
  <c r="AF226" i="1"/>
  <c r="AE226" i="1"/>
  <c r="AD226" i="1"/>
  <c r="AC226" i="1"/>
  <c r="AB226" i="1"/>
  <c r="Z226" i="1"/>
  <c r="J226" i="1"/>
  <c r="AL226" i="1" s="1"/>
  <c r="H226" i="1"/>
  <c r="BJ225" i="1"/>
  <c r="Z225" i="1" s="1"/>
  <c r="BF225" i="1"/>
  <c r="BD225" i="1"/>
  <c r="AP225" i="1"/>
  <c r="BI225" i="1" s="1"/>
  <c r="AO225" i="1"/>
  <c r="AK225" i="1"/>
  <c r="AJ225" i="1"/>
  <c r="AH225" i="1"/>
  <c r="AG225" i="1"/>
  <c r="AF225" i="1"/>
  <c r="AE225" i="1"/>
  <c r="AD225" i="1"/>
  <c r="AC225" i="1"/>
  <c r="AB225" i="1"/>
  <c r="J225" i="1"/>
  <c r="AL225" i="1" s="1"/>
  <c r="AU224" i="1" s="1"/>
  <c r="I225" i="1"/>
  <c r="BJ223" i="1"/>
  <c r="Z223" i="1" s="1"/>
  <c r="BF223" i="1"/>
  <c r="BD223" i="1"/>
  <c r="AP223" i="1"/>
  <c r="AX223" i="1" s="1"/>
  <c r="AO223" i="1"/>
  <c r="BH223" i="1" s="1"/>
  <c r="AK223" i="1"/>
  <c r="AJ223" i="1"/>
  <c r="AH223" i="1"/>
  <c r="AG223" i="1"/>
  <c r="AF223" i="1"/>
  <c r="AE223" i="1"/>
  <c r="AD223" i="1"/>
  <c r="AC223" i="1"/>
  <c r="AB223" i="1"/>
  <c r="J223" i="1"/>
  <c r="AL223" i="1" s="1"/>
  <c r="H223" i="1"/>
  <c r="BJ222" i="1"/>
  <c r="Z222" i="1" s="1"/>
  <c r="BF222" i="1"/>
  <c r="BD222" i="1"/>
  <c r="AW222" i="1"/>
  <c r="AP222" i="1"/>
  <c r="AO222" i="1"/>
  <c r="BH222" i="1" s="1"/>
  <c r="AK222" i="1"/>
  <c r="AJ222" i="1"/>
  <c r="AH222" i="1"/>
  <c r="AG222" i="1"/>
  <c r="AF222" i="1"/>
  <c r="AE222" i="1"/>
  <c r="AD222" i="1"/>
  <c r="AC222" i="1"/>
  <c r="AB222" i="1"/>
  <c r="J222" i="1"/>
  <c r="H222" i="1"/>
  <c r="BJ220" i="1"/>
  <c r="Z220" i="1" s="1"/>
  <c r="BF220" i="1"/>
  <c r="BD220" i="1"/>
  <c r="AP220" i="1"/>
  <c r="AX220" i="1" s="1"/>
  <c r="AO220" i="1"/>
  <c r="BH220" i="1" s="1"/>
  <c r="AK220" i="1"/>
  <c r="AJ220" i="1"/>
  <c r="AH220" i="1"/>
  <c r="AG220" i="1"/>
  <c r="AF220" i="1"/>
  <c r="AE220" i="1"/>
  <c r="AD220" i="1"/>
  <c r="AC220" i="1"/>
  <c r="AB220" i="1"/>
  <c r="J220" i="1"/>
  <c r="AL220" i="1" s="1"/>
  <c r="BJ219" i="1"/>
  <c r="Z219" i="1" s="1"/>
  <c r="BF219" i="1"/>
  <c r="BD219" i="1"/>
  <c r="AW219" i="1"/>
  <c r="AP219" i="1"/>
  <c r="BI219" i="1" s="1"/>
  <c r="AO219" i="1"/>
  <c r="BH219" i="1" s="1"/>
  <c r="AL219" i="1"/>
  <c r="AK219" i="1"/>
  <c r="AT218" i="1" s="1"/>
  <c r="AJ219" i="1"/>
  <c r="AH219" i="1"/>
  <c r="AG219" i="1"/>
  <c r="AF219" i="1"/>
  <c r="AE219" i="1"/>
  <c r="AD219" i="1"/>
  <c r="AC219" i="1"/>
  <c r="AB219" i="1"/>
  <c r="J219" i="1"/>
  <c r="I219" i="1"/>
  <c r="H219" i="1"/>
  <c r="J218" i="1"/>
  <c r="BJ217" i="1"/>
  <c r="BF217" i="1"/>
  <c r="BD217" i="1"/>
  <c r="AP217" i="1"/>
  <c r="AO217" i="1"/>
  <c r="BH217" i="1" s="1"/>
  <c r="AK217" i="1"/>
  <c r="AJ217" i="1"/>
  <c r="AS215" i="1" s="1"/>
  <c r="AH217" i="1"/>
  <c r="AG217" i="1"/>
  <c r="AF217" i="1"/>
  <c r="AE217" i="1"/>
  <c r="AD217" i="1"/>
  <c r="AC217" i="1"/>
  <c r="AB217" i="1"/>
  <c r="Z217" i="1"/>
  <c r="J217" i="1"/>
  <c r="AL217" i="1" s="1"/>
  <c r="H217" i="1"/>
  <c r="BJ216" i="1"/>
  <c r="Z216" i="1" s="1"/>
  <c r="BF216" i="1"/>
  <c r="BD216" i="1"/>
  <c r="AP216" i="1"/>
  <c r="BI216" i="1" s="1"/>
  <c r="AO216" i="1"/>
  <c r="BH216" i="1" s="1"/>
  <c r="AL216" i="1"/>
  <c r="AK216" i="1"/>
  <c r="AT215" i="1" s="1"/>
  <c r="AJ216" i="1"/>
  <c r="AH216" i="1"/>
  <c r="AG216" i="1"/>
  <c r="AF216" i="1"/>
  <c r="AE216" i="1"/>
  <c r="AD216" i="1"/>
  <c r="AC216" i="1"/>
  <c r="AB216" i="1"/>
  <c r="J216" i="1"/>
  <c r="J215" i="1" s="1"/>
  <c r="I216" i="1"/>
  <c r="H216" i="1"/>
  <c r="H215" i="1" s="1"/>
  <c r="BJ214" i="1"/>
  <c r="BF214" i="1"/>
  <c r="BD214" i="1"/>
  <c r="AP214" i="1"/>
  <c r="AO214" i="1"/>
  <c r="BH214" i="1" s="1"/>
  <c r="AK214" i="1"/>
  <c r="AJ214" i="1"/>
  <c r="AS212" i="1" s="1"/>
  <c r="AH214" i="1"/>
  <c r="AG214" i="1"/>
  <c r="AF214" i="1"/>
  <c r="AE214" i="1"/>
  <c r="AD214" i="1"/>
  <c r="AC214" i="1"/>
  <c r="AB214" i="1"/>
  <c r="Z214" i="1"/>
  <c r="J214" i="1"/>
  <c r="AL214" i="1" s="1"/>
  <c r="H214" i="1"/>
  <c r="BJ213" i="1"/>
  <c r="Z213" i="1" s="1"/>
  <c r="BF213" i="1"/>
  <c r="BD213" i="1"/>
  <c r="AP213" i="1"/>
  <c r="BI213" i="1" s="1"/>
  <c r="AO213" i="1"/>
  <c r="AK213" i="1"/>
  <c r="AJ213" i="1"/>
  <c r="AH213" i="1"/>
  <c r="AG213" i="1"/>
  <c r="AF213" i="1"/>
  <c r="AE213" i="1"/>
  <c r="AD213" i="1"/>
  <c r="AC213" i="1"/>
  <c r="AB213" i="1"/>
  <c r="J213" i="1"/>
  <c r="AL213" i="1" s="1"/>
  <c r="I213" i="1"/>
  <c r="BJ211" i="1"/>
  <c r="Z211" i="1" s="1"/>
  <c r="BF211" i="1"/>
  <c r="BD211" i="1"/>
  <c r="AP211" i="1"/>
  <c r="AO211" i="1"/>
  <c r="BH211" i="1" s="1"/>
  <c r="AK211" i="1"/>
  <c r="AJ211" i="1"/>
  <c r="AH211" i="1"/>
  <c r="AG211" i="1"/>
  <c r="AF211" i="1"/>
  <c r="AE211" i="1"/>
  <c r="AD211" i="1"/>
  <c r="AC211" i="1"/>
  <c r="AB211" i="1"/>
  <c r="J211" i="1"/>
  <c r="AL211" i="1" s="1"/>
  <c r="H211" i="1"/>
  <c r="BJ210" i="1"/>
  <c r="Z210" i="1" s="1"/>
  <c r="BF210" i="1"/>
  <c r="BD210" i="1"/>
  <c r="AW210" i="1"/>
  <c r="AP210" i="1"/>
  <c r="AO210" i="1"/>
  <c r="BH210" i="1" s="1"/>
  <c r="AK210" i="1"/>
  <c r="AJ210" i="1"/>
  <c r="AH210" i="1"/>
  <c r="AG210" i="1"/>
  <c r="AF210" i="1"/>
  <c r="AE210" i="1"/>
  <c r="AD210" i="1"/>
  <c r="AC210" i="1"/>
  <c r="AB210" i="1"/>
  <c r="J210" i="1"/>
  <c r="H210" i="1"/>
  <c r="BJ208" i="1"/>
  <c r="Z208" i="1" s="1"/>
  <c r="BF208" i="1"/>
  <c r="BD208" i="1"/>
  <c r="AP208" i="1"/>
  <c r="AO208" i="1"/>
  <c r="BH208" i="1" s="1"/>
  <c r="AK208" i="1"/>
  <c r="AJ208" i="1"/>
  <c r="AH208" i="1"/>
  <c r="AG208" i="1"/>
  <c r="AF208" i="1"/>
  <c r="AE208" i="1"/>
  <c r="AD208" i="1"/>
  <c r="AC208" i="1"/>
  <c r="AB208" i="1"/>
  <c r="J208" i="1"/>
  <c r="AL208" i="1" s="1"/>
  <c r="H208" i="1"/>
  <c r="BJ207" i="1"/>
  <c r="Z207" i="1" s="1"/>
  <c r="BF207" i="1"/>
  <c r="BD207" i="1"/>
  <c r="AW207" i="1"/>
  <c r="AP207" i="1"/>
  <c r="BI207" i="1" s="1"/>
  <c r="AO207" i="1"/>
  <c r="BH207" i="1" s="1"/>
  <c r="AL207" i="1"/>
  <c r="AK207" i="1"/>
  <c r="AT206" i="1" s="1"/>
  <c r="AJ207" i="1"/>
  <c r="AH207" i="1"/>
  <c r="AG207" i="1"/>
  <c r="AF207" i="1"/>
  <c r="AE207" i="1"/>
  <c r="AD207" i="1"/>
  <c r="AC207" i="1"/>
  <c r="AB207" i="1"/>
  <c r="J207" i="1"/>
  <c r="I207" i="1"/>
  <c r="H207" i="1"/>
  <c r="J206" i="1"/>
  <c r="BJ205" i="1"/>
  <c r="BF205" i="1"/>
  <c r="BD205" i="1"/>
  <c r="AP205" i="1"/>
  <c r="AO205" i="1"/>
  <c r="BH205" i="1" s="1"/>
  <c r="AB205" i="1" s="1"/>
  <c r="AK205" i="1"/>
  <c r="AJ205" i="1"/>
  <c r="AH205" i="1"/>
  <c r="AG205" i="1"/>
  <c r="AF205" i="1"/>
  <c r="AE205" i="1"/>
  <c r="AD205" i="1"/>
  <c r="Z205" i="1"/>
  <c r="J205" i="1"/>
  <c r="AL205" i="1" s="1"/>
  <c r="H205" i="1"/>
  <c r="BJ204" i="1"/>
  <c r="BF204" i="1"/>
  <c r="BD204" i="1"/>
  <c r="AW204" i="1"/>
  <c r="AP204" i="1"/>
  <c r="BI204" i="1" s="1"/>
  <c r="AC204" i="1" s="1"/>
  <c r="AO204" i="1"/>
  <c r="BH204" i="1" s="1"/>
  <c r="AB204" i="1" s="1"/>
  <c r="AK204" i="1"/>
  <c r="AT202" i="1" s="1"/>
  <c r="AJ204" i="1"/>
  <c r="AH204" i="1"/>
  <c r="AG204" i="1"/>
  <c r="AF204" i="1"/>
  <c r="AE204" i="1"/>
  <c r="AD204" i="1"/>
  <c r="Z204" i="1"/>
  <c r="J204" i="1"/>
  <c r="AL204" i="1" s="1"/>
  <c r="H204" i="1"/>
  <c r="BJ203" i="1"/>
  <c r="BF203" i="1"/>
  <c r="BD203" i="1"/>
  <c r="AP203" i="1"/>
  <c r="BI203" i="1" s="1"/>
  <c r="AC203" i="1" s="1"/>
  <c r="AO203" i="1"/>
  <c r="AK203" i="1"/>
  <c r="AJ203" i="1"/>
  <c r="AH203" i="1"/>
  <c r="AG203" i="1"/>
  <c r="AF203" i="1"/>
  <c r="AE203" i="1"/>
  <c r="AD203" i="1"/>
  <c r="Z203" i="1"/>
  <c r="J203" i="1"/>
  <c r="I203" i="1"/>
  <c r="AS202" i="1"/>
  <c r="BJ201" i="1"/>
  <c r="BF201" i="1"/>
  <c r="BD201" i="1"/>
  <c r="AW201" i="1"/>
  <c r="AP201" i="1"/>
  <c r="BI201" i="1" s="1"/>
  <c r="AC201" i="1" s="1"/>
  <c r="AO201" i="1"/>
  <c r="BH201" i="1" s="1"/>
  <c r="AB201" i="1" s="1"/>
  <c r="AK201" i="1"/>
  <c r="AJ201" i="1"/>
  <c r="AH201" i="1"/>
  <c r="AG201" i="1"/>
  <c r="AF201" i="1"/>
  <c r="AE201" i="1"/>
  <c r="AD201" i="1"/>
  <c r="Z201" i="1"/>
  <c r="J201" i="1"/>
  <c r="AL201" i="1" s="1"/>
  <c r="I201" i="1"/>
  <c r="H201" i="1"/>
  <c r="BJ200" i="1"/>
  <c r="BF200" i="1"/>
  <c r="BD200" i="1"/>
  <c r="AW200" i="1"/>
  <c r="AP200" i="1"/>
  <c r="AO200" i="1"/>
  <c r="H200" i="1" s="1"/>
  <c r="AK200" i="1"/>
  <c r="AJ200" i="1"/>
  <c r="AH200" i="1"/>
  <c r="AG200" i="1"/>
  <c r="AF200" i="1"/>
  <c r="AE200" i="1"/>
  <c r="AD200" i="1"/>
  <c r="Z200" i="1"/>
  <c r="J200" i="1"/>
  <c r="AL200" i="1" s="1"/>
  <c r="BJ199" i="1"/>
  <c r="BF199" i="1"/>
  <c r="BD199" i="1"/>
  <c r="AP199" i="1"/>
  <c r="I199" i="1" s="1"/>
  <c r="AO199" i="1"/>
  <c r="BH199" i="1" s="1"/>
  <c r="AB199" i="1" s="1"/>
  <c r="AK199" i="1"/>
  <c r="AJ199" i="1"/>
  <c r="AH199" i="1"/>
  <c r="AG199" i="1"/>
  <c r="AF199" i="1"/>
  <c r="AE199" i="1"/>
  <c r="AD199" i="1"/>
  <c r="Z199" i="1"/>
  <c r="J199" i="1"/>
  <c r="AL199" i="1" s="1"/>
  <c r="BJ198" i="1"/>
  <c r="BI198" i="1"/>
  <c r="AC198" i="1" s="1"/>
  <c r="BF198" i="1"/>
  <c r="BD198" i="1"/>
  <c r="AP198" i="1"/>
  <c r="AO198" i="1"/>
  <c r="BH198" i="1" s="1"/>
  <c r="AK198" i="1"/>
  <c r="AJ198" i="1"/>
  <c r="AH198" i="1"/>
  <c r="AG198" i="1"/>
  <c r="AF198" i="1"/>
  <c r="AE198" i="1"/>
  <c r="AD198" i="1"/>
  <c r="AB198" i="1"/>
  <c r="Z198" i="1"/>
  <c r="J198" i="1"/>
  <c r="AL198" i="1" s="1"/>
  <c r="BJ197" i="1"/>
  <c r="BF197" i="1"/>
  <c r="BD197" i="1"/>
  <c r="AP197" i="1"/>
  <c r="BI197" i="1" s="1"/>
  <c r="AO197" i="1"/>
  <c r="BH197" i="1" s="1"/>
  <c r="AB197" i="1" s="1"/>
  <c r="AL197" i="1"/>
  <c r="AK197" i="1"/>
  <c r="AJ197" i="1"/>
  <c r="AH197" i="1"/>
  <c r="AG197" i="1"/>
  <c r="AF197" i="1"/>
  <c r="AE197" i="1"/>
  <c r="AD197" i="1"/>
  <c r="AC197" i="1"/>
  <c r="Z197" i="1"/>
  <c r="J197" i="1"/>
  <c r="I197" i="1"/>
  <c r="H197" i="1"/>
  <c r="BJ196" i="1"/>
  <c r="BF196" i="1"/>
  <c r="BD196" i="1"/>
  <c r="AP196" i="1"/>
  <c r="BI196" i="1" s="1"/>
  <c r="AC196" i="1" s="1"/>
  <c r="AO196" i="1"/>
  <c r="AK196" i="1"/>
  <c r="AJ196" i="1"/>
  <c r="AH196" i="1"/>
  <c r="AG196" i="1"/>
  <c r="AF196" i="1"/>
  <c r="AE196" i="1"/>
  <c r="AD196" i="1"/>
  <c r="Z196" i="1"/>
  <c r="J196" i="1"/>
  <c r="AL196" i="1" s="1"/>
  <c r="BJ195" i="1"/>
  <c r="BF195" i="1"/>
  <c r="BD195" i="1"/>
  <c r="AP195" i="1"/>
  <c r="I195" i="1" s="1"/>
  <c r="AO195" i="1"/>
  <c r="BH195" i="1" s="1"/>
  <c r="AB195" i="1" s="1"/>
  <c r="AK195" i="1"/>
  <c r="AJ195" i="1"/>
  <c r="AH195" i="1"/>
  <c r="AG195" i="1"/>
  <c r="AF195" i="1"/>
  <c r="AE195" i="1"/>
  <c r="AD195" i="1"/>
  <c r="Z195" i="1"/>
  <c r="J195" i="1"/>
  <c r="AL195" i="1" s="1"/>
  <c r="BJ194" i="1"/>
  <c r="BI194" i="1"/>
  <c r="AC194" i="1" s="1"/>
  <c r="BF194" i="1"/>
  <c r="BD194" i="1"/>
  <c r="AP194" i="1"/>
  <c r="AO194" i="1"/>
  <c r="AK194" i="1"/>
  <c r="AJ194" i="1"/>
  <c r="AH194" i="1"/>
  <c r="AG194" i="1"/>
  <c r="AF194" i="1"/>
  <c r="AE194" i="1"/>
  <c r="AD194" i="1"/>
  <c r="Z194" i="1"/>
  <c r="J194" i="1"/>
  <c r="AL194" i="1" s="1"/>
  <c r="BJ193" i="1"/>
  <c r="BF193" i="1"/>
  <c r="BD193" i="1"/>
  <c r="AW193" i="1"/>
  <c r="AP193" i="1"/>
  <c r="AO193" i="1"/>
  <c r="BH193" i="1" s="1"/>
  <c r="AK193" i="1"/>
  <c r="AJ193" i="1"/>
  <c r="AH193" i="1"/>
  <c r="AG193" i="1"/>
  <c r="AF193" i="1"/>
  <c r="AE193" i="1"/>
  <c r="AD193" i="1"/>
  <c r="AB193" i="1"/>
  <c r="Z193" i="1"/>
  <c r="J193" i="1"/>
  <c r="AL193" i="1" s="1"/>
  <c r="H193" i="1"/>
  <c r="BJ192" i="1"/>
  <c r="BF192" i="1"/>
  <c r="BD192" i="1"/>
  <c r="AP192" i="1"/>
  <c r="BI192" i="1" s="1"/>
  <c r="AC192" i="1" s="1"/>
  <c r="AO192" i="1"/>
  <c r="H192" i="1" s="1"/>
  <c r="AK192" i="1"/>
  <c r="AJ192" i="1"/>
  <c r="AH192" i="1"/>
  <c r="AG192" i="1"/>
  <c r="AF192" i="1"/>
  <c r="AE192" i="1"/>
  <c r="AD192" i="1"/>
  <c r="Z192" i="1"/>
  <c r="J192" i="1"/>
  <c r="AL192" i="1" s="1"/>
  <c r="I192" i="1"/>
  <c r="BJ191" i="1"/>
  <c r="BF191" i="1"/>
  <c r="BD191" i="1"/>
  <c r="AP191" i="1"/>
  <c r="I191" i="1" s="1"/>
  <c r="AO191" i="1"/>
  <c r="BH191" i="1" s="1"/>
  <c r="AB191" i="1" s="1"/>
  <c r="AK191" i="1"/>
  <c r="AJ191" i="1"/>
  <c r="AH191" i="1"/>
  <c r="AG191" i="1"/>
  <c r="AF191" i="1"/>
  <c r="AE191" i="1"/>
  <c r="AD191" i="1"/>
  <c r="Z191" i="1"/>
  <c r="J191" i="1"/>
  <c r="AL191" i="1" s="1"/>
  <c r="BJ190" i="1"/>
  <c r="BI190" i="1"/>
  <c r="AC190" i="1" s="1"/>
  <c r="BF190" i="1"/>
  <c r="BD190" i="1"/>
  <c r="AP190" i="1"/>
  <c r="AO190" i="1"/>
  <c r="AK190" i="1"/>
  <c r="AJ190" i="1"/>
  <c r="AH190" i="1"/>
  <c r="AG190" i="1"/>
  <c r="AF190" i="1"/>
  <c r="AE190" i="1"/>
  <c r="AD190" i="1"/>
  <c r="Z190" i="1"/>
  <c r="J190" i="1"/>
  <c r="AL190" i="1" s="1"/>
  <c r="BJ189" i="1"/>
  <c r="BF189" i="1"/>
  <c r="BD189" i="1"/>
  <c r="AW189" i="1"/>
  <c r="AP189" i="1"/>
  <c r="AO189" i="1"/>
  <c r="BH189" i="1" s="1"/>
  <c r="AB189" i="1" s="1"/>
  <c r="AK189" i="1"/>
  <c r="AJ189" i="1"/>
  <c r="AH189" i="1"/>
  <c r="AG189" i="1"/>
  <c r="AF189" i="1"/>
  <c r="AE189" i="1"/>
  <c r="AD189" i="1"/>
  <c r="Z189" i="1"/>
  <c r="J189" i="1"/>
  <c r="AL189" i="1" s="1"/>
  <c r="H189" i="1"/>
  <c r="BJ188" i="1"/>
  <c r="BH188" i="1"/>
  <c r="AB188" i="1" s="1"/>
  <c r="BF188" i="1"/>
  <c r="BD188" i="1"/>
  <c r="AX188" i="1"/>
  <c r="AW188" i="1"/>
  <c r="AP188" i="1"/>
  <c r="BI188" i="1" s="1"/>
  <c r="AC188" i="1" s="1"/>
  <c r="AO188" i="1"/>
  <c r="H188" i="1" s="1"/>
  <c r="AK188" i="1"/>
  <c r="AJ188" i="1"/>
  <c r="AH188" i="1"/>
  <c r="AG188" i="1"/>
  <c r="AF188" i="1"/>
  <c r="AE188" i="1"/>
  <c r="AD188" i="1"/>
  <c r="Z188" i="1"/>
  <c r="J188" i="1"/>
  <c r="AL188" i="1" s="1"/>
  <c r="I188" i="1"/>
  <c r="BJ187" i="1"/>
  <c r="BF187" i="1"/>
  <c r="BD187" i="1"/>
  <c r="AP187" i="1"/>
  <c r="I187" i="1" s="1"/>
  <c r="AO187" i="1"/>
  <c r="BH187" i="1" s="1"/>
  <c r="AB187" i="1" s="1"/>
  <c r="AK187" i="1"/>
  <c r="AJ187" i="1"/>
  <c r="AH187" i="1"/>
  <c r="AG187" i="1"/>
  <c r="AF187" i="1"/>
  <c r="AE187" i="1"/>
  <c r="AD187" i="1"/>
  <c r="Z187" i="1"/>
  <c r="J187" i="1"/>
  <c r="AL187" i="1" s="1"/>
  <c r="BJ186" i="1"/>
  <c r="BI186" i="1"/>
  <c r="AC186" i="1" s="1"/>
  <c r="BF186" i="1"/>
  <c r="BD186" i="1"/>
  <c r="AP186" i="1"/>
  <c r="AO186" i="1"/>
  <c r="BH186" i="1" s="1"/>
  <c r="AK186" i="1"/>
  <c r="AJ186" i="1"/>
  <c r="AH186" i="1"/>
  <c r="AG186" i="1"/>
  <c r="AF186" i="1"/>
  <c r="AE186" i="1"/>
  <c r="AD186" i="1"/>
  <c r="AB186" i="1"/>
  <c r="Z186" i="1"/>
  <c r="J186" i="1"/>
  <c r="AL186" i="1" s="1"/>
  <c r="BJ183" i="1"/>
  <c r="BF183" i="1"/>
  <c r="BD183" i="1"/>
  <c r="AP183" i="1"/>
  <c r="AX183" i="1" s="1"/>
  <c r="AO183" i="1"/>
  <c r="BH183" i="1" s="1"/>
  <c r="AD183" i="1" s="1"/>
  <c r="AK183" i="1"/>
  <c r="AJ183" i="1"/>
  <c r="AH183" i="1"/>
  <c r="AG183" i="1"/>
  <c r="AF183" i="1"/>
  <c r="AC183" i="1"/>
  <c r="AB183" i="1"/>
  <c r="Z183" i="1"/>
  <c r="J183" i="1"/>
  <c r="AL183" i="1" s="1"/>
  <c r="I183" i="1"/>
  <c r="BJ182" i="1"/>
  <c r="BF182" i="1"/>
  <c r="BD182" i="1"/>
  <c r="AP182" i="1"/>
  <c r="AO182" i="1"/>
  <c r="AW182" i="1" s="1"/>
  <c r="AK182" i="1"/>
  <c r="AT181" i="1" s="1"/>
  <c r="AJ182" i="1"/>
  <c r="AS181" i="1" s="1"/>
  <c r="AH182" i="1"/>
  <c r="AG182" i="1"/>
  <c r="AF182" i="1"/>
  <c r="AC182" i="1"/>
  <c r="AB182" i="1"/>
  <c r="Z182" i="1"/>
  <c r="J182" i="1"/>
  <c r="AL182" i="1" s="1"/>
  <c r="H182" i="1"/>
  <c r="BJ180" i="1"/>
  <c r="BF180" i="1"/>
  <c r="BD180" i="1"/>
  <c r="AP180" i="1"/>
  <c r="BI180" i="1" s="1"/>
  <c r="AE180" i="1" s="1"/>
  <c r="AO180" i="1"/>
  <c r="AK180" i="1"/>
  <c r="AJ180" i="1"/>
  <c r="AH180" i="1"/>
  <c r="AG180" i="1"/>
  <c r="AF180" i="1"/>
  <c r="AC180" i="1"/>
  <c r="AB180" i="1"/>
  <c r="Z180" i="1"/>
  <c r="J180" i="1"/>
  <c r="AL180" i="1" s="1"/>
  <c r="I180" i="1"/>
  <c r="BJ179" i="1"/>
  <c r="BF179" i="1"/>
  <c r="BD179" i="1"/>
  <c r="AX179" i="1"/>
  <c r="AP179" i="1"/>
  <c r="BI179" i="1" s="1"/>
  <c r="AE179" i="1" s="1"/>
  <c r="AO179" i="1"/>
  <c r="BH179" i="1" s="1"/>
  <c r="AD179" i="1" s="1"/>
  <c r="AK179" i="1"/>
  <c r="AJ179" i="1"/>
  <c r="AH179" i="1"/>
  <c r="AG179" i="1"/>
  <c r="AF179" i="1"/>
  <c r="AC179" i="1"/>
  <c r="AB179" i="1"/>
  <c r="Z179" i="1"/>
  <c r="J179" i="1"/>
  <c r="AL179" i="1" s="1"/>
  <c r="I179" i="1"/>
  <c r="BJ178" i="1"/>
  <c r="BF178" i="1"/>
  <c r="BD178" i="1"/>
  <c r="AW178" i="1"/>
  <c r="AP178" i="1"/>
  <c r="BI178" i="1" s="1"/>
  <c r="AE178" i="1" s="1"/>
  <c r="AO178" i="1"/>
  <c r="BH178" i="1" s="1"/>
  <c r="AD178" i="1" s="1"/>
  <c r="AK178" i="1"/>
  <c r="AJ178" i="1"/>
  <c r="AH178" i="1"/>
  <c r="AG178" i="1"/>
  <c r="AF178" i="1"/>
  <c r="AC178" i="1"/>
  <c r="AB178" i="1"/>
  <c r="Z178" i="1"/>
  <c r="J178" i="1"/>
  <c r="AL178" i="1" s="1"/>
  <c r="BJ177" i="1"/>
  <c r="BF177" i="1"/>
  <c r="BD177" i="1"/>
  <c r="AP177" i="1"/>
  <c r="BI177" i="1" s="1"/>
  <c r="AE177" i="1" s="1"/>
  <c r="AO177" i="1"/>
  <c r="BH177" i="1" s="1"/>
  <c r="AD177" i="1" s="1"/>
  <c r="AK177" i="1"/>
  <c r="AJ177" i="1"/>
  <c r="AH177" i="1"/>
  <c r="AG177" i="1"/>
  <c r="AF177" i="1"/>
  <c r="AC177" i="1"/>
  <c r="AB177" i="1"/>
  <c r="Z177" i="1"/>
  <c r="J177" i="1"/>
  <c r="AL177" i="1" s="1"/>
  <c r="H177" i="1"/>
  <c r="BJ176" i="1"/>
  <c r="BF176" i="1"/>
  <c r="BD176" i="1"/>
  <c r="AW176" i="1"/>
  <c r="AP176" i="1"/>
  <c r="BI176" i="1" s="1"/>
  <c r="AE176" i="1" s="1"/>
  <c r="AO176" i="1"/>
  <c r="BH176" i="1" s="1"/>
  <c r="AD176" i="1" s="1"/>
  <c r="AK176" i="1"/>
  <c r="AJ176" i="1"/>
  <c r="AH176" i="1"/>
  <c r="AG176" i="1"/>
  <c r="AF176" i="1"/>
  <c r="AC176" i="1"/>
  <c r="AB176" i="1"/>
  <c r="Z176" i="1"/>
  <c r="J176" i="1"/>
  <c r="AL176" i="1" s="1"/>
  <c r="H176" i="1"/>
  <c r="J175" i="1"/>
  <c r="BJ173" i="1"/>
  <c r="BF173" i="1"/>
  <c r="BD173" i="1"/>
  <c r="AP173" i="1"/>
  <c r="BI173" i="1" s="1"/>
  <c r="AE173" i="1" s="1"/>
  <c r="AO173" i="1"/>
  <c r="AK173" i="1"/>
  <c r="AT172" i="1" s="1"/>
  <c r="AJ173" i="1"/>
  <c r="AS172" i="1" s="1"/>
  <c r="AH173" i="1"/>
  <c r="AG173" i="1"/>
  <c r="AF173" i="1"/>
  <c r="AC173" i="1"/>
  <c r="AB173" i="1"/>
  <c r="Z173" i="1"/>
  <c r="J173" i="1"/>
  <c r="AL173" i="1" s="1"/>
  <c r="AU172" i="1" s="1"/>
  <c r="J172" i="1"/>
  <c r="BJ170" i="1"/>
  <c r="BF170" i="1"/>
  <c r="BD170" i="1"/>
  <c r="AP170" i="1"/>
  <c r="BI170" i="1" s="1"/>
  <c r="AE170" i="1" s="1"/>
  <c r="AO170" i="1"/>
  <c r="BH170" i="1" s="1"/>
  <c r="AD170" i="1" s="1"/>
  <c r="AK170" i="1"/>
  <c r="AJ170" i="1"/>
  <c r="AH170" i="1"/>
  <c r="AG170" i="1"/>
  <c r="AF170" i="1"/>
  <c r="AC170" i="1"/>
  <c r="AB170" i="1"/>
  <c r="Z170" i="1"/>
  <c r="J170" i="1"/>
  <c r="AL170" i="1" s="1"/>
  <c r="BJ169" i="1"/>
  <c r="BF169" i="1"/>
  <c r="BD169" i="1"/>
  <c r="AP169" i="1"/>
  <c r="BI169" i="1" s="1"/>
  <c r="AE169" i="1" s="1"/>
  <c r="AO169" i="1"/>
  <c r="BH169" i="1" s="1"/>
  <c r="AD169" i="1" s="1"/>
  <c r="AK169" i="1"/>
  <c r="AT168" i="1" s="1"/>
  <c r="AJ169" i="1"/>
  <c r="AS168" i="1" s="1"/>
  <c r="AH169" i="1"/>
  <c r="AG169" i="1"/>
  <c r="AF169" i="1"/>
  <c r="AC169" i="1"/>
  <c r="AB169" i="1"/>
  <c r="Z169" i="1"/>
  <c r="J169" i="1"/>
  <c r="H169" i="1"/>
  <c r="BJ167" i="1"/>
  <c r="BF167" i="1"/>
  <c r="BD167" i="1"/>
  <c r="AP167" i="1"/>
  <c r="BI167" i="1" s="1"/>
  <c r="AE167" i="1" s="1"/>
  <c r="AO167" i="1"/>
  <c r="BH167" i="1" s="1"/>
  <c r="AD167" i="1" s="1"/>
  <c r="AK167" i="1"/>
  <c r="AJ167" i="1"/>
  <c r="AH167" i="1"/>
  <c r="AG167" i="1"/>
  <c r="AF167" i="1"/>
  <c r="AC167" i="1"/>
  <c r="AB167" i="1"/>
  <c r="Z167" i="1"/>
  <c r="J167" i="1"/>
  <c r="AL167" i="1" s="1"/>
  <c r="BJ166" i="1"/>
  <c r="BF166" i="1"/>
  <c r="BD166" i="1"/>
  <c r="AP166" i="1"/>
  <c r="BI166" i="1" s="1"/>
  <c r="AE166" i="1" s="1"/>
  <c r="AO166" i="1"/>
  <c r="AK166" i="1"/>
  <c r="AJ166" i="1"/>
  <c r="AH166" i="1"/>
  <c r="AG166" i="1"/>
  <c r="AF166" i="1"/>
  <c r="AC166" i="1"/>
  <c r="AB166" i="1"/>
  <c r="Z166" i="1"/>
  <c r="J166" i="1"/>
  <c r="AL166" i="1" s="1"/>
  <c r="BJ165" i="1"/>
  <c r="BF165" i="1"/>
  <c r="BD165" i="1"/>
  <c r="AP165" i="1"/>
  <c r="BI165" i="1" s="1"/>
  <c r="AE165" i="1" s="1"/>
  <c r="AO165" i="1"/>
  <c r="AK165" i="1"/>
  <c r="AJ165" i="1"/>
  <c r="AH165" i="1"/>
  <c r="AG165" i="1"/>
  <c r="AF165" i="1"/>
  <c r="AC165" i="1"/>
  <c r="AB165" i="1"/>
  <c r="Z165" i="1"/>
  <c r="J165" i="1"/>
  <c r="AL165" i="1" s="1"/>
  <c r="H165" i="1"/>
  <c r="BJ164" i="1"/>
  <c r="BF164" i="1"/>
  <c r="BD164" i="1"/>
  <c r="AX164" i="1"/>
  <c r="AP164" i="1"/>
  <c r="BI164" i="1" s="1"/>
  <c r="AE164" i="1" s="1"/>
  <c r="AO164" i="1"/>
  <c r="BH164" i="1" s="1"/>
  <c r="AD164" i="1" s="1"/>
  <c r="AK164" i="1"/>
  <c r="AJ164" i="1"/>
  <c r="AH164" i="1"/>
  <c r="AG164" i="1"/>
  <c r="AF164" i="1"/>
  <c r="AC164" i="1"/>
  <c r="AB164" i="1"/>
  <c r="Z164" i="1"/>
  <c r="J164" i="1"/>
  <c r="AL164" i="1" s="1"/>
  <c r="I164" i="1"/>
  <c r="BJ163" i="1"/>
  <c r="BF163" i="1"/>
  <c r="BD163" i="1"/>
  <c r="AP163" i="1"/>
  <c r="BI163" i="1" s="1"/>
  <c r="AE163" i="1" s="1"/>
  <c r="AO163" i="1"/>
  <c r="BH163" i="1" s="1"/>
  <c r="AD163" i="1" s="1"/>
  <c r="AK163" i="1"/>
  <c r="AJ163" i="1"/>
  <c r="AH163" i="1"/>
  <c r="AG163" i="1"/>
  <c r="AF163" i="1"/>
  <c r="AC163" i="1"/>
  <c r="AB163" i="1"/>
  <c r="Z163" i="1"/>
  <c r="J163" i="1"/>
  <c r="AL163" i="1" s="1"/>
  <c r="BJ162" i="1"/>
  <c r="BF162" i="1"/>
  <c r="BD162" i="1"/>
  <c r="AP162" i="1"/>
  <c r="BI162" i="1" s="1"/>
  <c r="AE162" i="1" s="1"/>
  <c r="AO162" i="1"/>
  <c r="AK162" i="1"/>
  <c r="AJ162" i="1"/>
  <c r="AH162" i="1"/>
  <c r="AG162" i="1"/>
  <c r="AF162" i="1"/>
  <c r="AC162" i="1"/>
  <c r="AB162" i="1"/>
  <c r="Z162" i="1"/>
  <c r="J162" i="1"/>
  <c r="AL162" i="1" s="1"/>
  <c r="BJ161" i="1"/>
  <c r="BF161" i="1"/>
  <c r="BD161" i="1"/>
  <c r="AP161" i="1"/>
  <c r="BI161" i="1" s="1"/>
  <c r="AE161" i="1" s="1"/>
  <c r="AO161" i="1"/>
  <c r="AL161" i="1"/>
  <c r="AK161" i="1"/>
  <c r="AJ161" i="1"/>
  <c r="AH161" i="1"/>
  <c r="AG161" i="1"/>
  <c r="AF161" i="1"/>
  <c r="AC161" i="1"/>
  <c r="AB161" i="1"/>
  <c r="Z161" i="1"/>
  <c r="J161" i="1"/>
  <c r="I161" i="1"/>
  <c r="H161" i="1"/>
  <c r="BJ160" i="1"/>
  <c r="BF160" i="1"/>
  <c r="BD160" i="1"/>
  <c r="AX160" i="1"/>
  <c r="AP160" i="1"/>
  <c r="BI160" i="1" s="1"/>
  <c r="AE160" i="1" s="1"/>
  <c r="AO160" i="1"/>
  <c r="BH160" i="1" s="1"/>
  <c r="AD160" i="1" s="1"/>
  <c r="AK160" i="1"/>
  <c r="AJ160" i="1"/>
  <c r="AH160" i="1"/>
  <c r="AG160" i="1"/>
  <c r="AF160" i="1"/>
  <c r="AC160" i="1"/>
  <c r="AB160" i="1"/>
  <c r="Z160" i="1"/>
  <c r="J160" i="1"/>
  <c r="AL160" i="1" s="1"/>
  <c r="I160" i="1"/>
  <c r="BJ159" i="1"/>
  <c r="BF159" i="1"/>
  <c r="BD159" i="1"/>
  <c r="AP159" i="1"/>
  <c r="BI159" i="1" s="1"/>
  <c r="AE159" i="1" s="1"/>
  <c r="AO159" i="1"/>
  <c r="BH159" i="1" s="1"/>
  <c r="AK159" i="1"/>
  <c r="AJ159" i="1"/>
  <c r="AH159" i="1"/>
  <c r="AG159" i="1"/>
  <c r="AF159" i="1"/>
  <c r="AD159" i="1"/>
  <c r="AC159" i="1"/>
  <c r="AB159" i="1"/>
  <c r="Z159" i="1"/>
  <c r="J159" i="1"/>
  <c r="AL159" i="1" s="1"/>
  <c r="BJ158" i="1"/>
  <c r="BF158" i="1"/>
  <c r="BD158" i="1"/>
  <c r="AX158" i="1"/>
  <c r="AP158" i="1"/>
  <c r="BI158" i="1" s="1"/>
  <c r="AE158" i="1" s="1"/>
  <c r="AO158" i="1"/>
  <c r="AW158" i="1" s="1"/>
  <c r="AK158" i="1"/>
  <c r="AJ158" i="1"/>
  <c r="AH158" i="1"/>
  <c r="AG158" i="1"/>
  <c r="AF158" i="1"/>
  <c r="AC158" i="1"/>
  <c r="AB158" i="1"/>
  <c r="Z158" i="1"/>
  <c r="J158" i="1"/>
  <c r="AL158" i="1" s="1"/>
  <c r="I158" i="1"/>
  <c r="H158" i="1"/>
  <c r="BJ157" i="1"/>
  <c r="BF157" i="1"/>
  <c r="BD157" i="1"/>
  <c r="AP157" i="1"/>
  <c r="AO157" i="1"/>
  <c r="AK157" i="1"/>
  <c r="AJ157" i="1"/>
  <c r="AH157" i="1"/>
  <c r="AG157" i="1"/>
  <c r="AF157" i="1"/>
  <c r="AC157" i="1"/>
  <c r="AB157" i="1"/>
  <c r="Z157" i="1"/>
  <c r="J157" i="1"/>
  <c r="AL157" i="1" s="1"/>
  <c r="BJ156" i="1"/>
  <c r="BF156" i="1"/>
  <c r="BD156" i="1"/>
  <c r="AP156" i="1"/>
  <c r="AO156" i="1"/>
  <c r="AK156" i="1"/>
  <c r="AJ156" i="1"/>
  <c r="AH156" i="1"/>
  <c r="AG156" i="1"/>
  <c r="AF156" i="1"/>
  <c r="AC156" i="1"/>
  <c r="AB156" i="1"/>
  <c r="Z156" i="1"/>
  <c r="J156" i="1"/>
  <c r="AL156" i="1" s="1"/>
  <c r="BJ155" i="1"/>
  <c r="BF155" i="1"/>
  <c r="BD155" i="1"/>
  <c r="AP155" i="1"/>
  <c r="BI155" i="1" s="1"/>
  <c r="AE155" i="1" s="1"/>
  <c r="AO155" i="1"/>
  <c r="AK155" i="1"/>
  <c r="AJ155" i="1"/>
  <c r="AH155" i="1"/>
  <c r="AG155" i="1"/>
  <c r="AF155" i="1"/>
  <c r="AC155" i="1"/>
  <c r="AB155" i="1"/>
  <c r="Z155" i="1"/>
  <c r="J155" i="1"/>
  <c r="AL155" i="1" s="1"/>
  <c r="I155" i="1"/>
  <c r="H155" i="1"/>
  <c r="BJ154" i="1"/>
  <c r="BF154" i="1"/>
  <c r="BD154" i="1"/>
  <c r="AP154" i="1"/>
  <c r="BI154" i="1" s="1"/>
  <c r="AE154" i="1" s="1"/>
  <c r="AO154" i="1"/>
  <c r="BH154" i="1" s="1"/>
  <c r="AD154" i="1" s="1"/>
  <c r="AK154" i="1"/>
  <c r="AJ154" i="1"/>
  <c r="AH154" i="1"/>
  <c r="AG154" i="1"/>
  <c r="AF154" i="1"/>
  <c r="AC154" i="1"/>
  <c r="AB154" i="1"/>
  <c r="Z154" i="1"/>
  <c r="J154" i="1"/>
  <c r="AL154" i="1" s="1"/>
  <c r="BJ153" i="1"/>
  <c r="BF153" i="1"/>
  <c r="BD153" i="1"/>
  <c r="AW153" i="1"/>
  <c r="AP153" i="1"/>
  <c r="BI153" i="1" s="1"/>
  <c r="AE153" i="1" s="1"/>
  <c r="AO153" i="1"/>
  <c r="BH153" i="1" s="1"/>
  <c r="AD153" i="1" s="1"/>
  <c r="AK153" i="1"/>
  <c r="AJ153" i="1"/>
  <c r="AH153" i="1"/>
  <c r="AG153" i="1"/>
  <c r="AF153" i="1"/>
  <c r="AC153" i="1"/>
  <c r="AB153" i="1"/>
  <c r="Z153" i="1"/>
  <c r="J153" i="1"/>
  <c r="AL153" i="1" s="1"/>
  <c r="BJ152" i="1"/>
  <c r="BF152" i="1"/>
  <c r="BD152" i="1"/>
  <c r="AP152" i="1"/>
  <c r="BI152" i="1" s="1"/>
  <c r="AE152" i="1" s="1"/>
  <c r="AO152" i="1"/>
  <c r="BH152" i="1" s="1"/>
  <c r="AD152" i="1" s="1"/>
  <c r="AK152" i="1"/>
  <c r="AJ152" i="1"/>
  <c r="AH152" i="1"/>
  <c r="AG152" i="1"/>
  <c r="AF152" i="1"/>
  <c r="AC152" i="1"/>
  <c r="AB152" i="1"/>
  <c r="Z152" i="1"/>
  <c r="J152" i="1"/>
  <c r="AL152" i="1" s="1"/>
  <c r="H152" i="1"/>
  <c r="BJ151" i="1"/>
  <c r="BF151" i="1"/>
  <c r="BD151" i="1"/>
  <c r="AW151" i="1"/>
  <c r="AP151" i="1"/>
  <c r="BI151" i="1" s="1"/>
  <c r="AE151" i="1" s="1"/>
  <c r="AO151" i="1"/>
  <c r="BH151" i="1" s="1"/>
  <c r="AD151" i="1" s="1"/>
  <c r="AK151" i="1"/>
  <c r="AJ151" i="1"/>
  <c r="AH151" i="1"/>
  <c r="AG151" i="1"/>
  <c r="AF151" i="1"/>
  <c r="AC151" i="1"/>
  <c r="AB151" i="1"/>
  <c r="Z151" i="1"/>
  <c r="J151" i="1"/>
  <c r="AL151" i="1" s="1"/>
  <c r="I151" i="1"/>
  <c r="H151" i="1"/>
  <c r="BJ150" i="1"/>
  <c r="BF150" i="1"/>
  <c r="BD150" i="1"/>
  <c r="AP150" i="1"/>
  <c r="BI150" i="1" s="1"/>
  <c r="AE150" i="1" s="1"/>
  <c r="AO150" i="1"/>
  <c r="BH150" i="1" s="1"/>
  <c r="AD150" i="1" s="1"/>
  <c r="AK150" i="1"/>
  <c r="AJ150" i="1"/>
  <c r="AH150" i="1"/>
  <c r="AG150" i="1"/>
  <c r="AF150" i="1"/>
  <c r="AC150" i="1"/>
  <c r="AB150" i="1"/>
  <c r="Z150" i="1"/>
  <c r="J150" i="1"/>
  <c r="AL150" i="1" s="1"/>
  <c r="BJ149" i="1"/>
  <c r="BF149" i="1"/>
  <c r="BD149" i="1"/>
  <c r="AP149" i="1"/>
  <c r="BI149" i="1" s="1"/>
  <c r="AE149" i="1" s="1"/>
  <c r="AO149" i="1"/>
  <c r="BH149" i="1" s="1"/>
  <c r="AD149" i="1" s="1"/>
  <c r="AK149" i="1"/>
  <c r="AJ149" i="1"/>
  <c r="AH149" i="1"/>
  <c r="AG149" i="1"/>
  <c r="AF149" i="1"/>
  <c r="AC149" i="1"/>
  <c r="AB149" i="1"/>
  <c r="Z149" i="1"/>
  <c r="J149" i="1"/>
  <c r="AL149" i="1" s="1"/>
  <c r="BJ148" i="1"/>
  <c r="BF148" i="1"/>
  <c r="BD148" i="1"/>
  <c r="AP148" i="1"/>
  <c r="BI148" i="1" s="1"/>
  <c r="AE148" i="1" s="1"/>
  <c r="AO148" i="1"/>
  <c r="BH148" i="1" s="1"/>
  <c r="AD148" i="1" s="1"/>
  <c r="AK148" i="1"/>
  <c r="AJ148" i="1"/>
  <c r="AH148" i="1"/>
  <c r="AG148" i="1"/>
  <c r="AF148" i="1"/>
  <c r="AC148" i="1"/>
  <c r="AB148" i="1"/>
  <c r="Z148" i="1"/>
  <c r="J148" i="1"/>
  <c r="AL148" i="1" s="1"/>
  <c r="BJ147" i="1"/>
  <c r="BF147" i="1"/>
  <c r="BD147" i="1"/>
  <c r="AP147" i="1"/>
  <c r="BI147" i="1" s="1"/>
  <c r="AE147" i="1" s="1"/>
  <c r="AO147" i="1"/>
  <c r="BH147" i="1" s="1"/>
  <c r="AD147" i="1" s="1"/>
  <c r="AK147" i="1"/>
  <c r="AJ147" i="1"/>
  <c r="AH147" i="1"/>
  <c r="AG147" i="1"/>
  <c r="AF147" i="1"/>
  <c r="AC147" i="1"/>
  <c r="AB147" i="1"/>
  <c r="Z147" i="1"/>
  <c r="J147" i="1"/>
  <c r="AL147" i="1" s="1"/>
  <c r="I147" i="1"/>
  <c r="H147" i="1"/>
  <c r="BJ146" i="1"/>
  <c r="BF146" i="1"/>
  <c r="BD146" i="1"/>
  <c r="AX146" i="1"/>
  <c r="AP146" i="1"/>
  <c r="BI146" i="1" s="1"/>
  <c r="AE146" i="1" s="1"/>
  <c r="AO146" i="1"/>
  <c r="BH146" i="1" s="1"/>
  <c r="AD146" i="1" s="1"/>
  <c r="AK146" i="1"/>
  <c r="AJ146" i="1"/>
  <c r="AH146" i="1"/>
  <c r="AG146" i="1"/>
  <c r="AF146" i="1"/>
  <c r="AC146" i="1"/>
  <c r="AB146" i="1"/>
  <c r="Z146" i="1"/>
  <c r="J146" i="1"/>
  <c r="AL146" i="1" s="1"/>
  <c r="I146" i="1"/>
  <c r="BJ145" i="1"/>
  <c r="BF145" i="1"/>
  <c r="BD145" i="1"/>
  <c r="AW145" i="1"/>
  <c r="AP145" i="1"/>
  <c r="BI145" i="1" s="1"/>
  <c r="AE145" i="1" s="1"/>
  <c r="AO145" i="1"/>
  <c r="BH145" i="1" s="1"/>
  <c r="AD145" i="1" s="1"/>
  <c r="AK145" i="1"/>
  <c r="AJ145" i="1"/>
  <c r="AH145" i="1"/>
  <c r="AG145" i="1"/>
  <c r="AF145" i="1"/>
  <c r="AC145" i="1"/>
  <c r="AB145" i="1"/>
  <c r="Z145" i="1"/>
  <c r="J145" i="1"/>
  <c r="AL145" i="1" s="1"/>
  <c r="BJ144" i="1"/>
  <c r="BF144" i="1"/>
  <c r="BD144" i="1"/>
  <c r="AX144" i="1"/>
  <c r="AP144" i="1"/>
  <c r="BI144" i="1" s="1"/>
  <c r="AE144" i="1" s="1"/>
  <c r="AO144" i="1"/>
  <c r="BH144" i="1" s="1"/>
  <c r="AD144" i="1" s="1"/>
  <c r="AK144" i="1"/>
  <c r="AJ144" i="1"/>
  <c r="AH144" i="1"/>
  <c r="AG144" i="1"/>
  <c r="AF144" i="1"/>
  <c r="AC144" i="1"/>
  <c r="AB144" i="1"/>
  <c r="Z144" i="1"/>
  <c r="J144" i="1"/>
  <c r="AL144" i="1" s="1"/>
  <c r="H144" i="1"/>
  <c r="BJ143" i="1"/>
  <c r="BF143" i="1"/>
  <c r="BD143" i="1"/>
  <c r="AW143" i="1"/>
  <c r="AP143" i="1"/>
  <c r="BI143" i="1" s="1"/>
  <c r="AE143" i="1" s="1"/>
  <c r="AO143" i="1"/>
  <c r="BH143" i="1" s="1"/>
  <c r="AD143" i="1" s="1"/>
  <c r="AK143" i="1"/>
  <c r="AJ143" i="1"/>
  <c r="AH143" i="1"/>
  <c r="AG143" i="1"/>
  <c r="AF143" i="1"/>
  <c r="AC143" i="1"/>
  <c r="AB143" i="1"/>
  <c r="Z143" i="1"/>
  <c r="J143" i="1"/>
  <c r="AL143" i="1" s="1"/>
  <c r="I143" i="1"/>
  <c r="H143" i="1"/>
  <c r="BJ142" i="1"/>
  <c r="BF142" i="1"/>
  <c r="BD142" i="1"/>
  <c r="AP142" i="1"/>
  <c r="BI142" i="1" s="1"/>
  <c r="AE142" i="1" s="1"/>
  <c r="AO142" i="1"/>
  <c r="BH142" i="1" s="1"/>
  <c r="AD142" i="1" s="1"/>
  <c r="AK142" i="1"/>
  <c r="AJ142" i="1"/>
  <c r="AH142" i="1"/>
  <c r="AG142" i="1"/>
  <c r="AF142" i="1"/>
  <c r="AC142" i="1"/>
  <c r="AB142" i="1"/>
  <c r="Z142" i="1"/>
  <c r="J142" i="1"/>
  <c r="AL142" i="1" s="1"/>
  <c r="BJ141" i="1"/>
  <c r="BF141" i="1"/>
  <c r="BD141" i="1"/>
  <c r="AP141" i="1"/>
  <c r="BI141" i="1" s="1"/>
  <c r="AE141" i="1" s="1"/>
  <c r="AO141" i="1"/>
  <c r="BH141" i="1" s="1"/>
  <c r="AD141" i="1" s="1"/>
  <c r="AK141" i="1"/>
  <c r="AJ141" i="1"/>
  <c r="AH141" i="1"/>
  <c r="AG141" i="1"/>
  <c r="AF141" i="1"/>
  <c r="AC141" i="1"/>
  <c r="AB141" i="1"/>
  <c r="Z141" i="1"/>
  <c r="J141" i="1"/>
  <c r="AL141" i="1" s="1"/>
  <c r="BJ140" i="1"/>
  <c r="BF140" i="1"/>
  <c r="BD140" i="1"/>
  <c r="AP140" i="1"/>
  <c r="BI140" i="1" s="1"/>
  <c r="AE140" i="1" s="1"/>
  <c r="AO140" i="1"/>
  <c r="BH140" i="1" s="1"/>
  <c r="AD140" i="1" s="1"/>
  <c r="AK140" i="1"/>
  <c r="AJ140" i="1"/>
  <c r="AH140" i="1"/>
  <c r="AG140" i="1"/>
  <c r="AF140" i="1"/>
  <c r="AC140" i="1"/>
  <c r="AB140" i="1"/>
  <c r="Z140" i="1"/>
  <c r="J140" i="1"/>
  <c r="AL140" i="1" s="1"/>
  <c r="BJ139" i="1"/>
  <c r="BF139" i="1"/>
  <c r="BD139" i="1"/>
  <c r="AP139" i="1"/>
  <c r="BI139" i="1" s="1"/>
  <c r="AE139" i="1" s="1"/>
  <c r="AO139" i="1"/>
  <c r="BH139" i="1" s="1"/>
  <c r="AD139" i="1" s="1"/>
  <c r="AL139" i="1"/>
  <c r="AK139" i="1"/>
  <c r="AJ139" i="1"/>
  <c r="AH139" i="1"/>
  <c r="AG139" i="1"/>
  <c r="AF139" i="1"/>
  <c r="AC139" i="1"/>
  <c r="AB139" i="1"/>
  <c r="Z139" i="1"/>
  <c r="J139" i="1"/>
  <c r="I139" i="1"/>
  <c r="H139" i="1"/>
  <c r="BJ138" i="1"/>
  <c r="BF138" i="1"/>
  <c r="BD138" i="1"/>
  <c r="AP138" i="1"/>
  <c r="BI138" i="1" s="1"/>
  <c r="AE138" i="1" s="1"/>
  <c r="AO138" i="1"/>
  <c r="BH138" i="1" s="1"/>
  <c r="AD138" i="1" s="1"/>
  <c r="AK138" i="1"/>
  <c r="AJ138" i="1"/>
  <c r="AH138" i="1"/>
  <c r="AG138" i="1"/>
  <c r="AF138" i="1"/>
  <c r="AC138" i="1"/>
  <c r="AB138" i="1"/>
  <c r="Z138" i="1"/>
  <c r="J138" i="1"/>
  <c r="AL138" i="1" s="1"/>
  <c r="BJ137" i="1"/>
  <c r="BF137" i="1"/>
  <c r="BD137" i="1"/>
  <c r="AW137" i="1"/>
  <c r="AP137" i="1"/>
  <c r="BI137" i="1" s="1"/>
  <c r="AE137" i="1" s="1"/>
  <c r="AO137" i="1"/>
  <c r="BH137" i="1" s="1"/>
  <c r="AD137" i="1" s="1"/>
  <c r="AK137" i="1"/>
  <c r="AJ137" i="1"/>
  <c r="AH137" i="1"/>
  <c r="AG137" i="1"/>
  <c r="AF137" i="1"/>
  <c r="AC137" i="1"/>
  <c r="AB137" i="1"/>
  <c r="Z137" i="1"/>
  <c r="J137" i="1"/>
  <c r="AL137" i="1" s="1"/>
  <c r="BJ136" i="1"/>
  <c r="BF136" i="1"/>
  <c r="BD136" i="1"/>
  <c r="AP136" i="1"/>
  <c r="BI136" i="1" s="1"/>
  <c r="AE136" i="1" s="1"/>
  <c r="AO136" i="1"/>
  <c r="BH136" i="1" s="1"/>
  <c r="AD136" i="1" s="1"/>
  <c r="AK136" i="1"/>
  <c r="AJ136" i="1"/>
  <c r="AH136" i="1"/>
  <c r="AG136" i="1"/>
  <c r="AF136" i="1"/>
  <c r="AC136" i="1"/>
  <c r="AB136" i="1"/>
  <c r="Z136" i="1"/>
  <c r="J136" i="1"/>
  <c r="AL136" i="1" s="1"/>
  <c r="BJ135" i="1"/>
  <c r="BF135" i="1"/>
  <c r="BD135" i="1"/>
  <c r="AP135" i="1"/>
  <c r="BI135" i="1" s="1"/>
  <c r="AE135" i="1" s="1"/>
  <c r="AO135" i="1"/>
  <c r="BH135" i="1" s="1"/>
  <c r="AD135" i="1" s="1"/>
  <c r="AK135" i="1"/>
  <c r="AJ135" i="1"/>
  <c r="AH135" i="1"/>
  <c r="AG135" i="1"/>
  <c r="AF135" i="1"/>
  <c r="AC135" i="1"/>
  <c r="AB135" i="1"/>
  <c r="Z135" i="1"/>
  <c r="J135" i="1"/>
  <c r="AL135" i="1" s="1"/>
  <c r="I135" i="1"/>
  <c r="H135" i="1"/>
  <c r="BJ134" i="1"/>
  <c r="BF134" i="1"/>
  <c r="BD134" i="1"/>
  <c r="AX134" i="1"/>
  <c r="AP134" i="1"/>
  <c r="BI134" i="1" s="1"/>
  <c r="AE134" i="1" s="1"/>
  <c r="AO134" i="1"/>
  <c r="BH134" i="1" s="1"/>
  <c r="AD134" i="1" s="1"/>
  <c r="AK134" i="1"/>
  <c r="AJ134" i="1"/>
  <c r="AH134" i="1"/>
  <c r="AG134" i="1"/>
  <c r="AF134" i="1"/>
  <c r="AC134" i="1"/>
  <c r="AB134" i="1"/>
  <c r="Z134" i="1"/>
  <c r="J134" i="1"/>
  <c r="AL134" i="1" s="1"/>
  <c r="I134" i="1"/>
  <c r="BJ133" i="1"/>
  <c r="BF133" i="1"/>
  <c r="BD133" i="1"/>
  <c r="AP133" i="1"/>
  <c r="BI133" i="1" s="1"/>
  <c r="AE133" i="1" s="1"/>
  <c r="AO133" i="1"/>
  <c r="BH133" i="1" s="1"/>
  <c r="AD133" i="1" s="1"/>
  <c r="AK133" i="1"/>
  <c r="AJ133" i="1"/>
  <c r="AH133" i="1"/>
  <c r="AG133" i="1"/>
  <c r="AF133" i="1"/>
  <c r="AC133" i="1"/>
  <c r="AB133" i="1"/>
  <c r="Z133" i="1"/>
  <c r="J133" i="1"/>
  <c r="AL133" i="1" s="1"/>
  <c r="BJ132" i="1"/>
  <c r="BF132" i="1"/>
  <c r="BD132" i="1"/>
  <c r="AP132" i="1"/>
  <c r="BI132" i="1" s="1"/>
  <c r="AE132" i="1" s="1"/>
  <c r="AO132" i="1"/>
  <c r="BH132" i="1" s="1"/>
  <c r="AD132" i="1" s="1"/>
  <c r="AK132" i="1"/>
  <c r="AJ132" i="1"/>
  <c r="AH132" i="1"/>
  <c r="AG132" i="1"/>
  <c r="AF132" i="1"/>
  <c r="AC132" i="1"/>
  <c r="AB132" i="1"/>
  <c r="Z132" i="1"/>
  <c r="J132" i="1"/>
  <c r="AL132" i="1" s="1"/>
  <c r="BJ131" i="1"/>
  <c r="BF131" i="1"/>
  <c r="BD131" i="1"/>
  <c r="AP131" i="1"/>
  <c r="BI131" i="1" s="1"/>
  <c r="AE131" i="1" s="1"/>
  <c r="AO131" i="1"/>
  <c r="BH131" i="1" s="1"/>
  <c r="AD131" i="1" s="1"/>
  <c r="AL131" i="1"/>
  <c r="AK131" i="1"/>
  <c r="AJ131" i="1"/>
  <c r="AH131" i="1"/>
  <c r="AG131" i="1"/>
  <c r="AF131" i="1"/>
  <c r="AC131" i="1"/>
  <c r="AB131" i="1"/>
  <c r="Z131" i="1"/>
  <c r="J131" i="1"/>
  <c r="I131" i="1"/>
  <c r="H131" i="1"/>
  <c r="BJ130" i="1"/>
  <c r="BF130" i="1"/>
  <c r="BD130" i="1"/>
  <c r="AP130" i="1"/>
  <c r="BI130" i="1" s="1"/>
  <c r="AE130" i="1" s="1"/>
  <c r="AO130" i="1"/>
  <c r="BH130" i="1" s="1"/>
  <c r="AD130" i="1" s="1"/>
  <c r="AK130" i="1"/>
  <c r="AJ130" i="1"/>
  <c r="AH130" i="1"/>
  <c r="AG130" i="1"/>
  <c r="AF130" i="1"/>
  <c r="AC130" i="1"/>
  <c r="AB130" i="1"/>
  <c r="Z130" i="1"/>
  <c r="J130" i="1"/>
  <c r="AL130" i="1" s="1"/>
  <c r="BJ129" i="1"/>
  <c r="BF129" i="1"/>
  <c r="BD129" i="1"/>
  <c r="AP129" i="1"/>
  <c r="BI129" i="1" s="1"/>
  <c r="AE129" i="1" s="1"/>
  <c r="AO129" i="1"/>
  <c r="BH129" i="1" s="1"/>
  <c r="AD129" i="1" s="1"/>
  <c r="AK129" i="1"/>
  <c r="AJ129" i="1"/>
  <c r="AH129" i="1"/>
  <c r="AG129" i="1"/>
  <c r="AF129" i="1"/>
  <c r="AC129" i="1"/>
  <c r="AB129" i="1"/>
  <c r="Z129" i="1"/>
  <c r="J129" i="1"/>
  <c r="AL129" i="1" s="1"/>
  <c r="BJ128" i="1"/>
  <c r="BF128" i="1"/>
  <c r="BD128" i="1"/>
  <c r="AP128" i="1"/>
  <c r="BI128" i="1" s="1"/>
  <c r="AE128" i="1" s="1"/>
  <c r="AO128" i="1"/>
  <c r="BH128" i="1" s="1"/>
  <c r="AD128" i="1" s="1"/>
  <c r="AK128" i="1"/>
  <c r="AJ128" i="1"/>
  <c r="AH128" i="1"/>
  <c r="AG128" i="1"/>
  <c r="AF128" i="1"/>
  <c r="AC128" i="1"/>
  <c r="AB128" i="1"/>
  <c r="Z128" i="1"/>
  <c r="J128" i="1"/>
  <c r="AL128" i="1" s="1"/>
  <c r="H128" i="1"/>
  <c r="BJ127" i="1"/>
  <c r="BF127" i="1"/>
  <c r="BD127" i="1"/>
  <c r="AW127" i="1"/>
  <c r="AP127" i="1"/>
  <c r="BI127" i="1" s="1"/>
  <c r="AE127" i="1" s="1"/>
  <c r="AO127" i="1"/>
  <c r="BH127" i="1" s="1"/>
  <c r="AD127" i="1" s="1"/>
  <c r="AK127" i="1"/>
  <c r="AT125" i="1" s="1"/>
  <c r="AJ127" i="1"/>
  <c r="AH127" i="1"/>
  <c r="AG127" i="1"/>
  <c r="AF127" i="1"/>
  <c r="AC127" i="1"/>
  <c r="AB127" i="1"/>
  <c r="Z127" i="1"/>
  <c r="J127" i="1"/>
  <c r="AL127" i="1" s="1"/>
  <c r="I127" i="1"/>
  <c r="H127" i="1"/>
  <c r="BJ126" i="1"/>
  <c r="BF126" i="1"/>
  <c r="BD126" i="1"/>
  <c r="AP126" i="1"/>
  <c r="BI126" i="1" s="1"/>
  <c r="AE126" i="1" s="1"/>
  <c r="AO126" i="1"/>
  <c r="BH126" i="1" s="1"/>
  <c r="AD126" i="1" s="1"/>
  <c r="AK126" i="1"/>
  <c r="AJ126" i="1"/>
  <c r="AH126" i="1"/>
  <c r="AG126" i="1"/>
  <c r="AF126" i="1"/>
  <c r="AC126" i="1"/>
  <c r="AB126" i="1"/>
  <c r="Z126" i="1"/>
  <c r="J126" i="1"/>
  <c r="AL126" i="1" s="1"/>
  <c r="AS125" i="1"/>
  <c r="BJ124" i="1"/>
  <c r="BF124" i="1"/>
  <c r="BD124" i="1"/>
  <c r="AW124" i="1"/>
  <c r="AP124" i="1"/>
  <c r="BI124" i="1" s="1"/>
  <c r="AE124" i="1" s="1"/>
  <c r="AO124" i="1"/>
  <c r="BH124" i="1" s="1"/>
  <c r="AD124" i="1" s="1"/>
  <c r="AK124" i="1"/>
  <c r="AJ124" i="1"/>
  <c r="AH124" i="1"/>
  <c r="AG124" i="1"/>
  <c r="AF124" i="1"/>
  <c r="AC124" i="1"/>
  <c r="AB124" i="1"/>
  <c r="Z124" i="1"/>
  <c r="J124" i="1"/>
  <c r="AL124" i="1" s="1"/>
  <c r="I124" i="1"/>
  <c r="H124" i="1"/>
  <c r="BJ123" i="1"/>
  <c r="BF123" i="1"/>
  <c r="BD123" i="1"/>
  <c r="AP123" i="1"/>
  <c r="BI123" i="1" s="1"/>
  <c r="AE123" i="1" s="1"/>
  <c r="AO123" i="1"/>
  <c r="BH123" i="1" s="1"/>
  <c r="AD123" i="1" s="1"/>
  <c r="AK123" i="1"/>
  <c r="AJ123" i="1"/>
  <c r="AH123" i="1"/>
  <c r="AG123" i="1"/>
  <c r="AF123" i="1"/>
  <c r="AC123" i="1"/>
  <c r="AB123" i="1"/>
  <c r="Z123" i="1"/>
  <c r="J123" i="1"/>
  <c r="AL123" i="1" s="1"/>
  <c r="BJ122" i="1"/>
  <c r="BF122" i="1"/>
  <c r="BD122" i="1"/>
  <c r="AP122" i="1"/>
  <c r="AO122" i="1"/>
  <c r="BH122" i="1" s="1"/>
  <c r="AD122" i="1" s="1"/>
  <c r="AK122" i="1"/>
  <c r="AJ122" i="1"/>
  <c r="AH122" i="1"/>
  <c r="AG122" i="1"/>
  <c r="AF122" i="1"/>
  <c r="AC122" i="1"/>
  <c r="AB122" i="1"/>
  <c r="Z122" i="1"/>
  <c r="J122" i="1"/>
  <c r="AL122" i="1" s="1"/>
  <c r="BJ121" i="1"/>
  <c r="BF121" i="1"/>
  <c r="BD121" i="1"/>
  <c r="AP121" i="1"/>
  <c r="AO121" i="1"/>
  <c r="BH121" i="1" s="1"/>
  <c r="AD121" i="1" s="1"/>
  <c r="AK121" i="1"/>
  <c r="AJ121" i="1"/>
  <c r="AH121" i="1"/>
  <c r="AG121" i="1"/>
  <c r="AF121" i="1"/>
  <c r="AC121" i="1"/>
  <c r="AB121" i="1"/>
  <c r="Z121" i="1"/>
  <c r="J121" i="1"/>
  <c r="AL121" i="1" s="1"/>
  <c r="H121" i="1"/>
  <c r="BJ120" i="1"/>
  <c r="BF120" i="1"/>
  <c r="BD120" i="1"/>
  <c r="AW120" i="1"/>
  <c r="AV120" i="1" s="1"/>
  <c r="AP120" i="1"/>
  <c r="AX120" i="1" s="1"/>
  <c r="AO120" i="1"/>
  <c r="BH120" i="1" s="1"/>
  <c r="AD120" i="1" s="1"/>
  <c r="AK120" i="1"/>
  <c r="AJ120" i="1"/>
  <c r="AH120" i="1"/>
  <c r="AG120" i="1"/>
  <c r="AF120" i="1"/>
  <c r="AC120" i="1"/>
  <c r="AB120" i="1"/>
  <c r="Z120" i="1"/>
  <c r="J120" i="1"/>
  <c r="AL120" i="1" s="1"/>
  <c r="BJ119" i="1"/>
  <c r="BF119" i="1"/>
  <c r="BD119" i="1"/>
  <c r="AP119" i="1"/>
  <c r="BI119" i="1" s="1"/>
  <c r="AE119" i="1" s="1"/>
  <c r="AO119" i="1"/>
  <c r="BH119" i="1" s="1"/>
  <c r="AD119" i="1" s="1"/>
  <c r="AK119" i="1"/>
  <c r="AJ119" i="1"/>
  <c r="AH119" i="1"/>
  <c r="AG119" i="1"/>
  <c r="AF119" i="1"/>
  <c r="AC119" i="1"/>
  <c r="AB119" i="1"/>
  <c r="Z119" i="1"/>
  <c r="J119" i="1"/>
  <c r="AL119" i="1" s="1"/>
  <c r="BJ118" i="1"/>
  <c r="BF118" i="1"/>
  <c r="BD118" i="1"/>
  <c r="AP118" i="1"/>
  <c r="BI118" i="1" s="1"/>
  <c r="AE118" i="1" s="1"/>
  <c r="AO118" i="1"/>
  <c r="BH118" i="1" s="1"/>
  <c r="AD118" i="1" s="1"/>
  <c r="AK118" i="1"/>
  <c r="AJ118" i="1"/>
  <c r="AH118" i="1"/>
  <c r="AG118" i="1"/>
  <c r="AF118" i="1"/>
  <c r="AC118" i="1"/>
  <c r="AB118" i="1"/>
  <c r="Z118" i="1"/>
  <c r="J118" i="1"/>
  <c r="AL118" i="1" s="1"/>
  <c r="BJ117" i="1"/>
  <c r="BF117" i="1"/>
  <c r="BD117" i="1"/>
  <c r="AP117" i="1"/>
  <c r="BI117" i="1" s="1"/>
  <c r="AE117" i="1" s="1"/>
  <c r="AO117" i="1"/>
  <c r="BH117" i="1" s="1"/>
  <c r="AD117" i="1" s="1"/>
  <c r="AK117" i="1"/>
  <c r="AJ117" i="1"/>
  <c r="AH117" i="1"/>
  <c r="AG117" i="1"/>
  <c r="AF117" i="1"/>
  <c r="AC117" i="1"/>
  <c r="AB117" i="1"/>
  <c r="Z117" i="1"/>
  <c r="J117" i="1"/>
  <c r="AL117" i="1" s="1"/>
  <c r="BJ114" i="1"/>
  <c r="BF114" i="1"/>
  <c r="BD114" i="1"/>
  <c r="AP114" i="1"/>
  <c r="BI114" i="1" s="1"/>
  <c r="AE114" i="1" s="1"/>
  <c r="AO114" i="1"/>
  <c r="BH114" i="1" s="1"/>
  <c r="AD114" i="1" s="1"/>
  <c r="AK114" i="1"/>
  <c r="AJ114" i="1"/>
  <c r="AH114" i="1"/>
  <c r="AG114" i="1"/>
  <c r="AF114" i="1"/>
  <c r="AC114" i="1"/>
  <c r="AB114" i="1"/>
  <c r="Z114" i="1"/>
  <c r="J114" i="1"/>
  <c r="AL114" i="1" s="1"/>
  <c r="BJ113" i="1"/>
  <c r="BF113" i="1"/>
  <c r="BD113" i="1"/>
  <c r="AP113" i="1"/>
  <c r="BI113" i="1" s="1"/>
  <c r="AE113" i="1" s="1"/>
  <c r="AO113" i="1"/>
  <c r="BH113" i="1" s="1"/>
  <c r="AD113" i="1" s="1"/>
  <c r="AK113" i="1"/>
  <c r="AJ113" i="1"/>
  <c r="AH113" i="1"/>
  <c r="AG113" i="1"/>
  <c r="AF113" i="1"/>
  <c r="AC113" i="1"/>
  <c r="AB113" i="1"/>
  <c r="Z113" i="1"/>
  <c r="J113" i="1"/>
  <c r="AL113" i="1" s="1"/>
  <c r="H113" i="1"/>
  <c r="BJ112" i="1"/>
  <c r="BF112" i="1"/>
  <c r="BD112" i="1"/>
  <c r="AW112" i="1"/>
  <c r="AP112" i="1"/>
  <c r="BI112" i="1" s="1"/>
  <c r="AE112" i="1" s="1"/>
  <c r="AO112" i="1"/>
  <c r="BH112" i="1" s="1"/>
  <c r="AD112" i="1" s="1"/>
  <c r="AK112" i="1"/>
  <c r="AJ112" i="1"/>
  <c r="AH112" i="1"/>
  <c r="AG112" i="1"/>
  <c r="AF112" i="1"/>
  <c r="AC112" i="1"/>
  <c r="AB112" i="1"/>
  <c r="Z112" i="1"/>
  <c r="J112" i="1"/>
  <c r="AL112" i="1" s="1"/>
  <c r="I112" i="1"/>
  <c r="H112" i="1"/>
  <c r="BJ111" i="1"/>
  <c r="BF111" i="1"/>
  <c r="BD111" i="1"/>
  <c r="AP111" i="1"/>
  <c r="BI111" i="1" s="1"/>
  <c r="AE111" i="1" s="1"/>
  <c r="AO111" i="1"/>
  <c r="BH111" i="1" s="1"/>
  <c r="AD111" i="1" s="1"/>
  <c r="AK111" i="1"/>
  <c r="AJ111" i="1"/>
  <c r="AH111" i="1"/>
  <c r="AG111" i="1"/>
  <c r="AF111" i="1"/>
  <c r="AC111" i="1"/>
  <c r="AB111" i="1"/>
  <c r="Z111" i="1"/>
  <c r="J111" i="1"/>
  <c r="AL111" i="1" s="1"/>
  <c r="BJ110" i="1"/>
  <c r="BF110" i="1"/>
  <c r="BD110" i="1"/>
  <c r="AP110" i="1"/>
  <c r="BI110" i="1" s="1"/>
  <c r="AE110" i="1" s="1"/>
  <c r="AO110" i="1"/>
  <c r="BH110" i="1" s="1"/>
  <c r="AD110" i="1" s="1"/>
  <c r="AK110" i="1"/>
  <c r="AJ110" i="1"/>
  <c r="AH110" i="1"/>
  <c r="AG110" i="1"/>
  <c r="AF110" i="1"/>
  <c r="AC110" i="1"/>
  <c r="AB110" i="1"/>
  <c r="Z110" i="1"/>
  <c r="J110" i="1"/>
  <c r="AL110" i="1" s="1"/>
  <c r="BJ109" i="1"/>
  <c r="BF109" i="1"/>
  <c r="BD109" i="1"/>
  <c r="AP109" i="1"/>
  <c r="BI109" i="1" s="1"/>
  <c r="AE109" i="1" s="1"/>
  <c r="AO109" i="1"/>
  <c r="BH109" i="1" s="1"/>
  <c r="AD109" i="1" s="1"/>
  <c r="AK109" i="1"/>
  <c r="AJ109" i="1"/>
  <c r="AH109" i="1"/>
  <c r="AG109" i="1"/>
  <c r="AF109" i="1"/>
  <c r="AC109" i="1"/>
  <c r="AB109" i="1"/>
  <c r="Z109" i="1"/>
  <c r="J109" i="1"/>
  <c r="AL109" i="1" s="1"/>
  <c r="H109" i="1"/>
  <c r="BJ108" i="1"/>
  <c r="BF108" i="1"/>
  <c r="BD108" i="1"/>
  <c r="AW108" i="1"/>
  <c r="AP108" i="1"/>
  <c r="BI108" i="1" s="1"/>
  <c r="AE108" i="1" s="1"/>
  <c r="AO108" i="1"/>
  <c r="BH108" i="1" s="1"/>
  <c r="AD108" i="1" s="1"/>
  <c r="AK108" i="1"/>
  <c r="AJ108" i="1"/>
  <c r="AH108" i="1"/>
  <c r="AG108" i="1"/>
  <c r="AF108" i="1"/>
  <c r="AC108" i="1"/>
  <c r="AB108" i="1"/>
  <c r="Z108" i="1"/>
  <c r="J108" i="1"/>
  <c r="AL108" i="1" s="1"/>
  <c r="I108" i="1"/>
  <c r="H108" i="1"/>
  <c r="BJ107" i="1"/>
  <c r="BF107" i="1"/>
  <c r="BD107" i="1"/>
  <c r="AP107" i="1"/>
  <c r="BI107" i="1" s="1"/>
  <c r="AE107" i="1" s="1"/>
  <c r="AO107" i="1"/>
  <c r="BH107" i="1" s="1"/>
  <c r="AD107" i="1" s="1"/>
  <c r="AK107" i="1"/>
  <c r="AT95" i="1" s="1"/>
  <c r="AJ107" i="1"/>
  <c r="AH107" i="1"/>
  <c r="AG107" i="1"/>
  <c r="AF107" i="1"/>
  <c r="AC107" i="1"/>
  <c r="AB107" i="1"/>
  <c r="Z107" i="1"/>
  <c r="J107" i="1"/>
  <c r="AL107" i="1" s="1"/>
  <c r="BJ105" i="1"/>
  <c r="BF105" i="1"/>
  <c r="BD105" i="1"/>
  <c r="AP105" i="1"/>
  <c r="BI105" i="1" s="1"/>
  <c r="AE105" i="1" s="1"/>
  <c r="AO105" i="1"/>
  <c r="BH105" i="1" s="1"/>
  <c r="AD105" i="1" s="1"/>
  <c r="AK105" i="1"/>
  <c r="AJ105" i="1"/>
  <c r="AH105" i="1"/>
  <c r="AG105" i="1"/>
  <c r="AF105" i="1"/>
  <c r="AC105" i="1"/>
  <c r="AB105" i="1"/>
  <c r="Z105" i="1"/>
  <c r="J105" i="1"/>
  <c r="AL105" i="1" s="1"/>
  <c r="H105" i="1"/>
  <c r="BJ104" i="1"/>
  <c r="BF104" i="1"/>
  <c r="BD104" i="1"/>
  <c r="AW104" i="1"/>
  <c r="AP104" i="1"/>
  <c r="BI104" i="1" s="1"/>
  <c r="AE104" i="1" s="1"/>
  <c r="AO104" i="1"/>
  <c r="BH104" i="1" s="1"/>
  <c r="AD104" i="1" s="1"/>
  <c r="AK104" i="1"/>
  <c r="AJ104" i="1"/>
  <c r="AH104" i="1"/>
  <c r="AG104" i="1"/>
  <c r="AF104" i="1"/>
  <c r="AC104" i="1"/>
  <c r="AB104" i="1"/>
  <c r="Z104" i="1"/>
  <c r="J104" i="1"/>
  <c r="AL104" i="1" s="1"/>
  <c r="I104" i="1"/>
  <c r="BJ103" i="1"/>
  <c r="BF103" i="1"/>
  <c r="BD103" i="1"/>
  <c r="AP103" i="1"/>
  <c r="BI103" i="1" s="1"/>
  <c r="AE103" i="1" s="1"/>
  <c r="AO103" i="1"/>
  <c r="BH103" i="1" s="1"/>
  <c r="AD103" i="1" s="1"/>
  <c r="AK103" i="1"/>
  <c r="AJ103" i="1"/>
  <c r="AH103" i="1"/>
  <c r="AG103" i="1"/>
  <c r="AF103" i="1"/>
  <c r="AC103" i="1"/>
  <c r="AB103" i="1"/>
  <c r="Z103" i="1"/>
  <c r="J103" i="1"/>
  <c r="AL103" i="1" s="1"/>
  <c r="I103" i="1"/>
  <c r="H103" i="1"/>
  <c r="BJ102" i="1"/>
  <c r="BF102" i="1"/>
  <c r="BD102" i="1"/>
  <c r="AX102" i="1"/>
  <c r="AP102" i="1"/>
  <c r="BI102" i="1" s="1"/>
  <c r="AE102" i="1" s="1"/>
  <c r="AO102" i="1"/>
  <c r="BH102" i="1" s="1"/>
  <c r="AD102" i="1" s="1"/>
  <c r="AK102" i="1"/>
  <c r="AJ102" i="1"/>
  <c r="AH102" i="1"/>
  <c r="AG102" i="1"/>
  <c r="AF102" i="1"/>
  <c r="AC102" i="1"/>
  <c r="AB102" i="1"/>
  <c r="Z102" i="1"/>
  <c r="J102" i="1"/>
  <c r="AL102" i="1" s="1"/>
  <c r="I102" i="1"/>
  <c r="BJ101" i="1"/>
  <c r="BF101" i="1"/>
  <c r="BD101" i="1"/>
  <c r="AP101" i="1"/>
  <c r="BI101" i="1" s="1"/>
  <c r="AE101" i="1" s="1"/>
  <c r="AO101" i="1"/>
  <c r="BH101" i="1" s="1"/>
  <c r="AD101" i="1" s="1"/>
  <c r="AK101" i="1"/>
  <c r="AJ101" i="1"/>
  <c r="AH101" i="1"/>
  <c r="AG101" i="1"/>
  <c r="AF101" i="1"/>
  <c r="AC101" i="1"/>
  <c r="AB101" i="1"/>
  <c r="Z101" i="1"/>
  <c r="J101" i="1"/>
  <c r="AL101" i="1" s="1"/>
  <c r="H101" i="1"/>
  <c r="BJ100" i="1"/>
  <c r="BF100" i="1"/>
  <c r="BD100" i="1"/>
  <c r="AW100" i="1"/>
  <c r="AP100" i="1"/>
  <c r="BI100" i="1" s="1"/>
  <c r="AE100" i="1" s="1"/>
  <c r="AO100" i="1"/>
  <c r="BH100" i="1" s="1"/>
  <c r="AD100" i="1" s="1"/>
  <c r="AK100" i="1"/>
  <c r="AJ100" i="1"/>
  <c r="AH100" i="1"/>
  <c r="AG100" i="1"/>
  <c r="AF100" i="1"/>
  <c r="AC100" i="1"/>
  <c r="AB100" i="1"/>
  <c r="Z100" i="1"/>
  <c r="J100" i="1"/>
  <c r="AL100" i="1" s="1"/>
  <c r="I100" i="1"/>
  <c r="H100" i="1"/>
  <c r="BJ98" i="1"/>
  <c r="BF98" i="1"/>
  <c r="BD98" i="1"/>
  <c r="AP98" i="1"/>
  <c r="BI98" i="1" s="1"/>
  <c r="AE98" i="1" s="1"/>
  <c r="AO98" i="1"/>
  <c r="BH98" i="1" s="1"/>
  <c r="AD98" i="1" s="1"/>
  <c r="AK98" i="1"/>
  <c r="AJ98" i="1"/>
  <c r="AH98" i="1"/>
  <c r="AG98" i="1"/>
  <c r="AF98" i="1"/>
  <c r="AC98" i="1"/>
  <c r="AB98" i="1"/>
  <c r="Z98" i="1"/>
  <c r="J98" i="1"/>
  <c r="AL98" i="1" s="1"/>
  <c r="BJ97" i="1"/>
  <c r="BF97" i="1"/>
  <c r="BD97" i="1"/>
  <c r="AP97" i="1"/>
  <c r="BI97" i="1" s="1"/>
  <c r="AE97" i="1" s="1"/>
  <c r="AO97" i="1"/>
  <c r="BH97" i="1" s="1"/>
  <c r="AD97" i="1" s="1"/>
  <c r="AK97" i="1"/>
  <c r="AJ97" i="1"/>
  <c r="AH97" i="1"/>
  <c r="AG97" i="1"/>
  <c r="AF97" i="1"/>
  <c r="AC97" i="1"/>
  <c r="AB97" i="1"/>
  <c r="Z97" i="1"/>
  <c r="J97" i="1"/>
  <c r="AL97" i="1" s="1"/>
  <c r="BJ96" i="1"/>
  <c r="BF96" i="1"/>
  <c r="BD96" i="1"/>
  <c r="AP96" i="1"/>
  <c r="BI96" i="1" s="1"/>
  <c r="AE96" i="1" s="1"/>
  <c r="AO96" i="1"/>
  <c r="BH96" i="1" s="1"/>
  <c r="AD96" i="1" s="1"/>
  <c r="AK96" i="1"/>
  <c r="AJ96" i="1"/>
  <c r="AH96" i="1"/>
  <c r="AG96" i="1"/>
  <c r="AF96" i="1"/>
  <c r="AC96" i="1"/>
  <c r="AB96" i="1"/>
  <c r="Z96" i="1"/>
  <c r="J96" i="1"/>
  <c r="AL96" i="1" s="1"/>
  <c r="J95" i="1"/>
  <c r="BJ94" i="1"/>
  <c r="BF94" i="1"/>
  <c r="BD94" i="1"/>
  <c r="AP94" i="1"/>
  <c r="AX94" i="1" s="1"/>
  <c r="AO94" i="1"/>
  <c r="BH94" i="1" s="1"/>
  <c r="AD94" i="1" s="1"/>
  <c r="AK94" i="1"/>
  <c r="AJ94" i="1"/>
  <c r="AH94" i="1"/>
  <c r="AG94" i="1"/>
  <c r="AF94" i="1"/>
  <c r="AC94" i="1"/>
  <c r="AB94" i="1"/>
  <c r="Z94" i="1"/>
  <c r="J94" i="1"/>
  <c r="AL94" i="1" s="1"/>
  <c r="BJ93" i="1"/>
  <c r="BF93" i="1"/>
  <c r="BD93" i="1"/>
  <c r="AP93" i="1"/>
  <c r="BI93" i="1" s="1"/>
  <c r="AE93" i="1" s="1"/>
  <c r="AO93" i="1"/>
  <c r="BH93" i="1" s="1"/>
  <c r="AD93" i="1" s="1"/>
  <c r="AK93" i="1"/>
  <c r="AJ93" i="1"/>
  <c r="AH93" i="1"/>
  <c r="AG93" i="1"/>
  <c r="AF93" i="1"/>
  <c r="AC93" i="1"/>
  <c r="AB93" i="1"/>
  <c r="Z93" i="1"/>
  <c r="J93" i="1"/>
  <c r="AL93" i="1" s="1"/>
  <c r="BJ92" i="1"/>
  <c r="BF92" i="1"/>
  <c r="BD92" i="1"/>
  <c r="AP92" i="1"/>
  <c r="BI92" i="1" s="1"/>
  <c r="AE92" i="1" s="1"/>
  <c r="AO92" i="1"/>
  <c r="BH92" i="1" s="1"/>
  <c r="AD92" i="1" s="1"/>
  <c r="AL92" i="1"/>
  <c r="AK92" i="1"/>
  <c r="AJ92" i="1"/>
  <c r="AH92" i="1"/>
  <c r="AG92" i="1"/>
  <c r="AF92" i="1"/>
  <c r="AC92" i="1"/>
  <c r="AB92" i="1"/>
  <c r="Z92" i="1"/>
  <c r="J92" i="1"/>
  <c r="I92" i="1"/>
  <c r="H92" i="1"/>
  <c r="BJ91" i="1"/>
  <c r="BF91" i="1"/>
  <c r="BD91" i="1"/>
  <c r="AP91" i="1"/>
  <c r="BI91" i="1" s="1"/>
  <c r="AE91" i="1" s="1"/>
  <c r="AO91" i="1"/>
  <c r="AW91" i="1" s="1"/>
  <c r="AK91" i="1"/>
  <c r="AJ91" i="1"/>
  <c r="AH91" i="1"/>
  <c r="AG91" i="1"/>
  <c r="AF91" i="1"/>
  <c r="AC91" i="1"/>
  <c r="AB91" i="1"/>
  <c r="Z91" i="1"/>
  <c r="J91" i="1"/>
  <c r="AL91" i="1" s="1"/>
  <c r="BJ90" i="1"/>
  <c r="BF90" i="1"/>
  <c r="BD90" i="1"/>
  <c r="AP90" i="1"/>
  <c r="AX90" i="1" s="1"/>
  <c r="AO90" i="1"/>
  <c r="BH90" i="1" s="1"/>
  <c r="AD90" i="1" s="1"/>
  <c r="AK90" i="1"/>
  <c r="AJ90" i="1"/>
  <c r="AH90" i="1"/>
  <c r="AG90" i="1"/>
  <c r="AF90" i="1"/>
  <c r="AC90" i="1"/>
  <c r="AB90" i="1"/>
  <c r="Z90" i="1"/>
  <c r="J90" i="1"/>
  <c r="AL90" i="1" s="1"/>
  <c r="BJ89" i="1"/>
  <c r="BF89" i="1"/>
  <c r="BD89" i="1"/>
  <c r="AP89" i="1"/>
  <c r="BI89" i="1" s="1"/>
  <c r="AE89" i="1" s="1"/>
  <c r="AO89" i="1"/>
  <c r="BH89" i="1" s="1"/>
  <c r="AD89" i="1" s="1"/>
  <c r="AK89" i="1"/>
  <c r="AJ89" i="1"/>
  <c r="AS87" i="1" s="1"/>
  <c r="AH89" i="1"/>
  <c r="AG89" i="1"/>
  <c r="AF89" i="1"/>
  <c r="AC89" i="1"/>
  <c r="AB89" i="1"/>
  <c r="Z89" i="1"/>
  <c r="J89" i="1"/>
  <c r="AL89" i="1" s="1"/>
  <c r="H89" i="1"/>
  <c r="BJ88" i="1"/>
  <c r="BF88" i="1"/>
  <c r="BD88" i="1"/>
  <c r="AW88" i="1"/>
  <c r="AP88" i="1"/>
  <c r="BI88" i="1" s="1"/>
  <c r="AE88" i="1" s="1"/>
  <c r="AO88" i="1"/>
  <c r="BH88" i="1" s="1"/>
  <c r="AD88" i="1" s="1"/>
  <c r="AK88" i="1"/>
  <c r="AT87" i="1" s="1"/>
  <c r="AJ88" i="1"/>
  <c r="AH88" i="1"/>
  <c r="AG88" i="1"/>
  <c r="AF88" i="1"/>
  <c r="AC88" i="1"/>
  <c r="AB88" i="1"/>
  <c r="Z88" i="1"/>
  <c r="J88" i="1"/>
  <c r="AL88" i="1" s="1"/>
  <c r="I88" i="1"/>
  <c r="H88" i="1"/>
  <c r="J87" i="1"/>
  <c r="BJ86" i="1"/>
  <c r="BF86" i="1"/>
  <c r="BD86" i="1"/>
  <c r="AP86" i="1"/>
  <c r="BI86" i="1" s="1"/>
  <c r="AE86" i="1" s="1"/>
  <c r="AO86" i="1"/>
  <c r="BH86" i="1" s="1"/>
  <c r="AD86" i="1" s="1"/>
  <c r="AK86" i="1"/>
  <c r="AJ86" i="1"/>
  <c r="AH86" i="1"/>
  <c r="AG86" i="1"/>
  <c r="AF86" i="1"/>
  <c r="AC86" i="1"/>
  <c r="AB86" i="1"/>
  <c r="Z86" i="1"/>
  <c r="J86" i="1"/>
  <c r="AL86" i="1" s="1"/>
  <c r="H86" i="1"/>
  <c r="BJ85" i="1"/>
  <c r="BF85" i="1"/>
  <c r="BD85" i="1"/>
  <c r="AW85" i="1"/>
  <c r="AP85" i="1"/>
  <c r="BI85" i="1" s="1"/>
  <c r="AE85" i="1" s="1"/>
  <c r="AO85" i="1"/>
  <c r="BH85" i="1" s="1"/>
  <c r="AD85" i="1" s="1"/>
  <c r="AK85" i="1"/>
  <c r="AJ85" i="1"/>
  <c r="AH85" i="1"/>
  <c r="AG85" i="1"/>
  <c r="AF85" i="1"/>
  <c r="AC85" i="1"/>
  <c r="AB85" i="1"/>
  <c r="Z85" i="1"/>
  <c r="J85" i="1"/>
  <c r="AL85" i="1" s="1"/>
  <c r="I85" i="1"/>
  <c r="H85" i="1"/>
  <c r="BJ84" i="1"/>
  <c r="BF84" i="1"/>
  <c r="BD84" i="1"/>
  <c r="AP84" i="1"/>
  <c r="BI84" i="1" s="1"/>
  <c r="AE84" i="1" s="1"/>
  <c r="AO84" i="1"/>
  <c r="AW84" i="1" s="1"/>
  <c r="AK84" i="1"/>
  <c r="AJ84" i="1"/>
  <c r="AH84" i="1"/>
  <c r="AG84" i="1"/>
  <c r="AF84" i="1"/>
  <c r="AC84" i="1"/>
  <c r="AB84" i="1"/>
  <c r="Z84" i="1"/>
  <c r="J84" i="1"/>
  <c r="AL84" i="1" s="1"/>
  <c r="BJ83" i="1"/>
  <c r="BF83" i="1"/>
  <c r="BD83" i="1"/>
  <c r="AP83" i="1"/>
  <c r="AX83" i="1" s="1"/>
  <c r="AO83" i="1"/>
  <c r="BH83" i="1" s="1"/>
  <c r="AD83" i="1" s="1"/>
  <c r="AK83" i="1"/>
  <c r="AJ83" i="1"/>
  <c r="AH83" i="1"/>
  <c r="AG83" i="1"/>
  <c r="AF83" i="1"/>
  <c r="AC83" i="1"/>
  <c r="AB83" i="1"/>
  <c r="Z83" i="1"/>
  <c r="J83" i="1"/>
  <c r="AL83" i="1" s="1"/>
  <c r="BJ82" i="1"/>
  <c r="BF82" i="1"/>
  <c r="BD82" i="1"/>
  <c r="AP82" i="1"/>
  <c r="BI82" i="1" s="1"/>
  <c r="AE82" i="1" s="1"/>
  <c r="AO82" i="1"/>
  <c r="BH82" i="1" s="1"/>
  <c r="AD82" i="1" s="1"/>
  <c r="AK82" i="1"/>
  <c r="AJ82" i="1"/>
  <c r="AH82" i="1"/>
  <c r="AG82" i="1"/>
  <c r="AF82" i="1"/>
  <c r="AC82" i="1"/>
  <c r="AB82" i="1"/>
  <c r="Z82" i="1"/>
  <c r="J82" i="1"/>
  <c r="AL82" i="1" s="1"/>
  <c r="BJ81" i="1"/>
  <c r="BF81" i="1"/>
  <c r="BD81" i="1"/>
  <c r="AP81" i="1"/>
  <c r="BI81" i="1" s="1"/>
  <c r="AE81" i="1" s="1"/>
  <c r="AO81" i="1"/>
  <c r="BH81" i="1" s="1"/>
  <c r="AD81" i="1" s="1"/>
  <c r="AK81" i="1"/>
  <c r="AJ81" i="1"/>
  <c r="AH81" i="1"/>
  <c r="AG81" i="1"/>
  <c r="AF81" i="1"/>
  <c r="AC81" i="1"/>
  <c r="AB81" i="1"/>
  <c r="Z81" i="1"/>
  <c r="J81" i="1"/>
  <c r="AL81" i="1" s="1"/>
  <c r="I81" i="1"/>
  <c r="H81" i="1"/>
  <c r="BJ80" i="1"/>
  <c r="BF80" i="1"/>
  <c r="BD80" i="1"/>
  <c r="AX80" i="1"/>
  <c r="AP80" i="1"/>
  <c r="BI80" i="1" s="1"/>
  <c r="AE80" i="1" s="1"/>
  <c r="AO80" i="1"/>
  <c r="AW80" i="1" s="1"/>
  <c r="AK80" i="1"/>
  <c r="AJ80" i="1"/>
  <c r="AH80" i="1"/>
  <c r="AG80" i="1"/>
  <c r="AF80" i="1"/>
  <c r="AC80" i="1"/>
  <c r="AB80" i="1"/>
  <c r="Z80" i="1"/>
  <c r="J80" i="1"/>
  <c r="AL80" i="1" s="1"/>
  <c r="I80" i="1"/>
  <c r="BJ79" i="1"/>
  <c r="BF79" i="1"/>
  <c r="BD79" i="1"/>
  <c r="AP79" i="1"/>
  <c r="AX79" i="1" s="1"/>
  <c r="AO79" i="1"/>
  <c r="BH79" i="1" s="1"/>
  <c r="AD79" i="1" s="1"/>
  <c r="AK79" i="1"/>
  <c r="AJ79" i="1"/>
  <c r="AH79" i="1"/>
  <c r="AG79" i="1"/>
  <c r="AF79" i="1"/>
  <c r="AC79" i="1"/>
  <c r="AB79" i="1"/>
  <c r="Z79" i="1"/>
  <c r="J79" i="1"/>
  <c r="AL79" i="1" s="1"/>
  <c r="BJ78" i="1"/>
  <c r="BF78" i="1"/>
  <c r="BD78" i="1"/>
  <c r="AP78" i="1"/>
  <c r="BI78" i="1" s="1"/>
  <c r="AE78" i="1" s="1"/>
  <c r="AO78" i="1"/>
  <c r="BH78" i="1" s="1"/>
  <c r="AD78" i="1" s="1"/>
  <c r="AK78" i="1"/>
  <c r="AJ78" i="1"/>
  <c r="AH78" i="1"/>
  <c r="AG78" i="1"/>
  <c r="AF78" i="1"/>
  <c r="AC78" i="1"/>
  <c r="AB78" i="1"/>
  <c r="Z78" i="1"/>
  <c r="J78" i="1"/>
  <c r="AL78" i="1" s="1"/>
  <c r="BJ77" i="1"/>
  <c r="BF77" i="1"/>
  <c r="BD77" i="1"/>
  <c r="AP77" i="1"/>
  <c r="BI77" i="1" s="1"/>
  <c r="AE77" i="1" s="1"/>
  <c r="AO77" i="1"/>
  <c r="BH77" i="1" s="1"/>
  <c r="AD77" i="1" s="1"/>
  <c r="AL77" i="1"/>
  <c r="AK77" i="1"/>
  <c r="AJ77" i="1"/>
  <c r="AH77" i="1"/>
  <c r="AG77" i="1"/>
  <c r="AF77" i="1"/>
  <c r="AC77" i="1"/>
  <c r="AB77" i="1"/>
  <c r="Z77" i="1"/>
  <c r="J77" i="1"/>
  <c r="I77" i="1"/>
  <c r="H77" i="1"/>
  <c r="BJ76" i="1"/>
  <c r="BF76" i="1"/>
  <c r="BD76" i="1"/>
  <c r="AP76" i="1"/>
  <c r="BI76" i="1" s="1"/>
  <c r="AE76" i="1" s="1"/>
  <c r="AO76" i="1"/>
  <c r="AW76" i="1" s="1"/>
  <c r="AK76" i="1"/>
  <c r="AJ76" i="1"/>
  <c r="AH76" i="1"/>
  <c r="AG76" i="1"/>
  <c r="AF76" i="1"/>
  <c r="AC76" i="1"/>
  <c r="AB76" i="1"/>
  <c r="Z76" i="1"/>
  <c r="J76" i="1"/>
  <c r="AL76" i="1" s="1"/>
  <c r="BJ74" i="1"/>
  <c r="BF74" i="1"/>
  <c r="BD74" i="1"/>
  <c r="AP74" i="1"/>
  <c r="AX74" i="1" s="1"/>
  <c r="AO74" i="1"/>
  <c r="BH74" i="1" s="1"/>
  <c r="AD74" i="1" s="1"/>
  <c r="AK74" i="1"/>
  <c r="AJ74" i="1"/>
  <c r="AH74" i="1"/>
  <c r="AG74" i="1"/>
  <c r="AF74" i="1"/>
  <c r="AC74" i="1"/>
  <c r="AB74" i="1"/>
  <c r="Z74" i="1"/>
  <c r="J74" i="1"/>
  <c r="AL74" i="1" s="1"/>
  <c r="BJ73" i="1"/>
  <c r="BF73" i="1"/>
  <c r="BD73" i="1"/>
  <c r="AP73" i="1"/>
  <c r="BI73" i="1" s="1"/>
  <c r="AE73" i="1" s="1"/>
  <c r="AO73" i="1"/>
  <c r="BH73" i="1" s="1"/>
  <c r="AD73" i="1" s="1"/>
  <c r="AK73" i="1"/>
  <c r="AJ73" i="1"/>
  <c r="AH73" i="1"/>
  <c r="AG73" i="1"/>
  <c r="AF73" i="1"/>
  <c r="AC73" i="1"/>
  <c r="AB73" i="1"/>
  <c r="Z73" i="1"/>
  <c r="J73" i="1"/>
  <c r="AL73" i="1" s="1"/>
  <c r="H73" i="1"/>
  <c r="BJ72" i="1"/>
  <c r="BF72" i="1"/>
  <c r="BD72" i="1"/>
  <c r="AW72" i="1"/>
  <c r="AP72" i="1"/>
  <c r="BI72" i="1" s="1"/>
  <c r="AE72" i="1" s="1"/>
  <c r="AO72" i="1"/>
  <c r="BH72" i="1" s="1"/>
  <c r="AD72" i="1" s="1"/>
  <c r="AK72" i="1"/>
  <c r="AJ72" i="1"/>
  <c r="AH72" i="1"/>
  <c r="AG72" i="1"/>
  <c r="AF72" i="1"/>
  <c r="AC72" i="1"/>
  <c r="AB72" i="1"/>
  <c r="Z72" i="1"/>
  <c r="J72" i="1"/>
  <c r="AL72" i="1" s="1"/>
  <c r="I72" i="1"/>
  <c r="H72" i="1"/>
  <c r="BJ71" i="1"/>
  <c r="BF71" i="1"/>
  <c r="BD71" i="1"/>
  <c r="AP71" i="1"/>
  <c r="BI71" i="1" s="1"/>
  <c r="AE71" i="1" s="1"/>
  <c r="AO71" i="1"/>
  <c r="AW71" i="1" s="1"/>
  <c r="AK71" i="1"/>
  <c r="AJ71" i="1"/>
  <c r="AH71" i="1"/>
  <c r="AG71" i="1"/>
  <c r="AF71" i="1"/>
  <c r="AC71" i="1"/>
  <c r="AB71" i="1"/>
  <c r="Z71" i="1"/>
  <c r="J71" i="1"/>
  <c r="AL71" i="1" s="1"/>
  <c r="BJ70" i="1"/>
  <c r="BF70" i="1"/>
  <c r="BD70" i="1"/>
  <c r="AP70" i="1"/>
  <c r="AX70" i="1" s="1"/>
  <c r="AO70" i="1"/>
  <c r="BH70" i="1" s="1"/>
  <c r="AD70" i="1" s="1"/>
  <c r="AK70" i="1"/>
  <c r="AJ70" i="1"/>
  <c r="AH70" i="1"/>
  <c r="AG70" i="1"/>
  <c r="AF70" i="1"/>
  <c r="AC70" i="1"/>
  <c r="AB70" i="1"/>
  <c r="Z70" i="1"/>
  <c r="J70" i="1"/>
  <c r="AL70" i="1" s="1"/>
  <c r="BJ69" i="1"/>
  <c r="BF69" i="1"/>
  <c r="BD69" i="1"/>
  <c r="AP69" i="1"/>
  <c r="BI69" i="1" s="1"/>
  <c r="AE69" i="1" s="1"/>
  <c r="AO69" i="1"/>
  <c r="BH69" i="1" s="1"/>
  <c r="AD69" i="1" s="1"/>
  <c r="AK69" i="1"/>
  <c r="AJ69" i="1"/>
  <c r="AH69" i="1"/>
  <c r="AG69" i="1"/>
  <c r="AF69" i="1"/>
  <c r="AC69" i="1"/>
  <c r="AB69" i="1"/>
  <c r="Z69" i="1"/>
  <c r="J69" i="1"/>
  <c r="AL69" i="1" s="1"/>
  <c r="H69" i="1"/>
  <c r="BJ68" i="1"/>
  <c r="BF68" i="1"/>
  <c r="BD68" i="1"/>
  <c r="AW68" i="1"/>
  <c r="AP68" i="1"/>
  <c r="BI68" i="1" s="1"/>
  <c r="AE68" i="1" s="1"/>
  <c r="AO68" i="1"/>
  <c r="BH68" i="1" s="1"/>
  <c r="AD68" i="1" s="1"/>
  <c r="AK68" i="1"/>
  <c r="AJ68" i="1"/>
  <c r="AH68" i="1"/>
  <c r="AG68" i="1"/>
  <c r="AF68" i="1"/>
  <c r="AC68" i="1"/>
  <c r="AB68" i="1"/>
  <c r="Z68" i="1"/>
  <c r="J68" i="1"/>
  <c r="AL68" i="1" s="1"/>
  <c r="I68" i="1"/>
  <c r="H68" i="1"/>
  <c r="BJ67" i="1"/>
  <c r="BF67" i="1"/>
  <c r="BD67" i="1"/>
  <c r="AP67" i="1"/>
  <c r="BI67" i="1" s="1"/>
  <c r="AE67" i="1" s="1"/>
  <c r="AO67" i="1"/>
  <c r="AW67" i="1" s="1"/>
  <c r="AK67" i="1"/>
  <c r="AJ67" i="1"/>
  <c r="AH67" i="1"/>
  <c r="AG67" i="1"/>
  <c r="AF67" i="1"/>
  <c r="AC67" i="1"/>
  <c r="AB67" i="1"/>
  <c r="Z67" i="1"/>
  <c r="J67" i="1"/>
  <c r="AL67" i="1" s="1"/>
  <c r="BJ66" i="1"/>
  <c r="BF66" i="1"/>
  <c r="BD66" i="1"/>
  <c r="AP66" i="1"/>
  <c r="AX66" i="1" s="1"/>
  <c r="AO66" i="1"/>
  <c r="BH66" i="1" s="1"/>
  <c r="AD66" i="1" s="1"/>
  <c r="AK66" i="1"/>
  <c r="AJ66" i="1"/>
  <c r="AH66" i="1"/>
  <c r="AG66" i="1"/>
  <c r="AF66" i="1"/>
  <c r="AC66" i="1"/>
  <c r="AB66" i="1"/>
  <c r="Z66" i="1"/>
  <c r="J66" i="1"/>
  <c r="AL66" i="1" s="1"/>
  <c r="BJ65" i="1"/>
  <c r="BF65" i="1"/>
  <c r="BD65" i="1"/>
  <c r="AP65" i="1"/>
  <c r="BI65" i="1" s="1"/>
  <c r="AE65" i="1" s="1"/>
  <c r="AO65" i="1"/>
  <c r="BH65" i="1" s="1"/>
  <c r="AD65" i="1" s="1"/>
  <c r="AK65" i="1"/>
  <c r="AJ65" i="1"/>
  <c r="AH65" i="1"/>
  <c r="AG65" i="1"/>
  <c r="AF65" i="1"/>
  <c r="AC65" i="1"/>
  <c r="AB65" i="1"/>
  <c r="Z65" i="1"/>
  <c r="J65" i="1"/>
  <c r="AL65" i="1" s="1"/>
  <c r="BJ63" i="1"/>
  <c r="BF63" i="1"/>
  <c r="BD63" i="1"/>
  <c r="AP63" i="1"/>
  <c r="AO63" i="1"/>
  <c r="BH63" i="1" s="1"/>
  <c r="AD63" i="1" s="1"/>
  <c r="AK63" i="1"/>
  <c r="AJ63" i="1"/>
  <c r="AH63" i="1"/>
  <c r="AG63" i="1"/>
  <c r="AF63" i="1"/>
  <c r="AC63" i="1"/>
  <c r="AB63" i="1"/>
  <c r="Z63" i="1"/>
  <c r="J63" i="1"/>
  <c r="AL63" i="1" s="1"/>
  <c r="BJ62" i="1"/>
  <c r="BF62" i="1"/>
  <c r="BD62" i="1"/>
  <c r="AP62" i="1"/>
  <c r="BI62" i="1" s="1"/>
  <c r="AE62" i="1" s="1"/>
  <c r="AO62" i="1"/>
  <c r="BH62" i="1" s="1"/>
  <c r="AD62" i="1" s="1"/>
  <c r="AK62" i="1"/>
  <c r="AJ62" i="1"/>
  <c r="AH62" i="1"/>
  <c r="AG62" i="1"/>
  <c r="AF62" i="1"/>
  <c r="AC62" i="1"/>
  <c r="AB62" i="1"/>
  <c r="Z62" i="1"/>
  <c r="J62" i="1"/>
  <c r="AL62" i="1" s="1"/>
  <c r="H62" i="1"/>
  <c r="BJ61" i="1"/>
  <c r="BF61" i="1"/>
  <c r="BD61" i="1"/>
  <c r="AW61" i="1"/>
  <c r="AP61" i="1"/>
  <c r="BI61" i="1" s="1"/>
  <c r="AE61" i="1" s="1"/>
  <c r="AO61" i="1"/>
  <c r="BH61" i="1" s="1"/>
  <c r="AD61" i="1" s="1"/>
  <c r="AK61" i="1"/>
  <c r="AJ61" i="1"/>
  <c r="AH61" i="1"/>
  <c r="AG61" i="1"/>
  <c r="AF61" i="1"/>
  <c r="AC61" i="1"/>
  <c r="AB61" i="1"/>
  <c r="Z61" i="1"/>
  <c r="J61" i="1"/>
  <c r="AL61" i="1" s="1"/>
  <c r="I61" i="1"/>
  <c r="H61" i="1"/>
  <c r="BJ60" i="1"/>
  <c r="BF60" i="1"/>
  <c r="BD60" i="1"/>
  <c r="AP60" i="1"/>
  <c r="BI60" i="1" s="1"/>
  <c r="AE60" i="1" s="1"/>
  <c r="AO60" i="1"/>
  <c r="AK60" i="1"/>
  <c r="AJ60" i="1"/>
  <c r="AH60" i="1"/>
  <c r="AG60" i="1"/>
  <c r="AF60" i="1"/>
  <c r="AC60" i="1"/>
  <c r="AB60" i="1"/>
  <c r="Z60" i="1"/>
  <c r="J60" i="1"/>
  <c r="AL60" i="1" s="1"/>
  <c r="BJ59" i="1"/>
  <c r="BF59" i="1"/>
  <c r="BD59" i="1"/>
  <c r="AP59" i="1"/>
  <c r="AO59" i="1"/>
  <c r="BH59" i="1" s="1"/>
  <c r="AD59" i="1" s="1"/>
  <c r="AK59" i="1"/>
  <c r="AJ59" i="1"/>
  <c r="AH59" i="1"/>
  <c r="AG59" i="1"/>
  <c r="AF59" i="1"/>
  <c r="AC59" i="1"/>
  <c r="AB59" i="1"/>
  <c r="Z59" i="1"/>
  <c r="J59" i="1"/>
  <c r="AL59" i="1" s="1"/>
  <c r="BJ58" i="1"/>
  <c r="BF58" i="1"/>
  <c r="BD58" i="1"/>
  <c r="AP58" i="1"/>
  <c r="AO58" i="1"/>
  <c r="BH58" i="1" s="1"/>
  <c r="AD58" i="1" s="1"/>
  <c r="AK58" i="1"/>
  <c r="AJ58" i="1"/>
  <c r="AH58" i="1"/>
  <c r="AG58" i="1"/>
  <c r="AF58" i="1"/>
  <c r="AC58" i="1"/>
  <c r="AB58" i="1"/>
  <c r="Z58" i="1"/>
  <c r="J58" i="1"/>
  <c r="AL58" i="1" s="1"/>
  <c r="H58" i="1"/>
  <c r="BJ57" i="1"/>
  <c r="BF57" i="1"/>
  <c r="BD57" i="1"/>
  <c r="AW57" i="1"/>
  <c r="AP57" i="1"/>
  <c r="BI57" i="1" s="1"/>
  <c r="AE57" i="1" s="1"/>
  <c r="AO57" i="1"/>
  <c r="BH57" i="1" s="1"/>
  <c r="AD57" i="1" s="1"/>
  <c r="AK57" i="1"/>
  <c r="AJ57" i="1"/>
  <c r="AH57" i="1"/>
  <c r="AG57" i="1"/>
  <c r="AF57" i="1"/>
  <c r="AC57" i="1"/>
  <c r="AB57" i="1"/>
  <c r="Z57" i="1"/>
  <c r="J57" i="1"/>
  <c r="AL57" i="1" s="1"/>
  <c r="I57" i="1"/>
  <c r="H57" i="1"/>
  <c r="BJ56" i="1"/>
  <c r="BF56" i="1"/>
  <c r="BD56" i="1"/>
  <c r="AP56" i="1"/>
  <c r="BI56" i="1" s="1"/>
  <c r="AE56" i="1" s="1"/>
  <c r="AO56" i="1"/>
  <c r="BH56" i="1" s="1"/>
  <c r="AD56" i="1" s="1"/>
  <c r="AK56" i="1"/>
  <c r="AJ56" i="1"/>
  <c r="AH56" i="1"/>
  <c r="AG56" i="1"/>
  <c r="AF56" i="1"/>
  <c r="AC56" i="1"/>
  <c r="AB56" i="1"/>
  <c r="Z56" i="1"/>
  <c r="J56" i="1"/>
  <c r="AL56" i="1" s="1"/>
  <c r="BJ55" i="1"/>
  <c r="BF55" i="1"/>
  <c r="BD55" i="1"/>
  <c r="AP55" i="1"/>
  <c r="BI55" i="1" s="1"/>
  <c r="AE55" i="1" s="1"/>
  <c r="AO55" i="1"/>
  <c r="H55" i="1" s="1"/>
  <c r="AK55" i="1"/>
  <c r="AJ55" i="1"/>
  <c r="AH55" i="1"/>
  <c r="AG55" i="1"/>
  <c r="AF55" i="1"/>
  <c r="AC55" i="1"/>
  <c r="AB55" i="1"/>
  <c r="Z55" i="1"/>
  <c r="J55" i="1"/>
  <c r="AL55" i="1" s="1"/>
  <c r="I55" i="1"/>
  <c r="BJ54" i="1"/>
  <c r="BF54" i="1"/>
  <c r="BD54" i="1"/>
  <c r="AP54" i="1"/>
  <c r="AX54" i="1" s="1"/>
  <c r="AO54" i="1"/>
  <c r="BH54" i="1" s="1"/>
  <c r="AD54" i="1" s="1"/>
  <c r="AK54" i="1"/>
  <c r="AJ54" i="1"/>
  <c r="AH54" i="1"/>
  <c r="AG54" i="1"/>
  <c r="AF54" i="1"/>
  <c r="AC54" i="1"/>
  <c r="AB54" i="1"/>
  <c r="Z54" i="1"/>
  <c r="J54" i="1"/>
  <c r="AL54" i="1" s="1"/>
  <c r="BJ53" i="1"/>
  <c r="BF53" i="1"/>
  <c r="BD53" i="1"/>
  <c r="AP53" i="1"/>
  <c r="BI53" i="1" s="1"/>
  <c r="AE53" i="1" s="1"/>
  <c r="AO53" i="1"/>
  <c r="BH53" i="1" s="1"/>
  <c r="AD53" i="1" s="1"/>
  <c r="AK53" i="1"/>
  <c r="AJ53" i="1"/>
  <c r="AH53" i="1"/>
  <c r="AG53" i="1"/>
  <c r="AF53" i="1"/>
  <c r="AC53" i="1"/>
  <c r="AB53" i="1"/>
  <c r="Z53" i="1"/>
  <c r="J53" i="1"/>
  <c r="AL53" i="1" s="1"/>
  <c r="BJ52" i="1"/>
  <c r="BF52" i="1"/>
  <c r="BD52" i="1"/>
  <c r="AP52" i="1"/>
  <c r="BI52" i="1" s="1"/>
  <c r="AE52" i="1" s="1"/>
  <c r="AO52" i="1"/>
  <c r="BH52" i="1" s="1"/>
  <c r="AD52" i="1" s="1"/>
  <c r="AK52" i="1"/>
  <c r="AJ52" i="1"/>
  <c r="AH52" i="1"/>
  <c r="AG52" i="1"/>
  <c r="AF52" i="1"/>
  <c r="AC52" i="1"/>
  <c r="AB52" i="1"/>
  <c r="Z52" i="1"/>
  <c r="J52" i="1"/>
  <c r="AL52" i="1" s="1"/>
  <c r="I52" i="1"/>
  <c r="H52" i="1"/>
  <c r="BJ51" i="1"/>
  <c r="BF51" i="1"/>
  <c r="BD51" i="1"/>
  <c r="AX51" i="1"/>
  <c r="AP51" i="1"/>
  <c r="BI51" i="1" s="1"/>
  <c r="AE51" i="1" s="1"/>
  <c r="AO51" i="1"/>
  <c r="AW51" i="1" s="1"/>
  <c r="AK51" i="1"/>
  <c r="AJ51" i="1"/>
  <c r="AH51" i="1"/>
  <c r="AG51" i="1"/>
  <c r="AF51" i="1"/>
  <c r="AC51" i="1"/>
  <c r="AB51" i="1"/>
  <c r="Z51" i="1"/>
  <c r="J51" i="1"/>
  <c r="AL51" i="1" s="1"/>
  <c r="I51" i="1"/>
  <c r="BJ50" i="1"/>
  <c r="BF50" i="1"/>
  <c r="BD50" i="1"/>
  <c r="AP50" i="1"/>
  <c r="AX50" i="1" s="1"/>
  <c r="AO50" i="1"/>
  <c r="BH50" i="1" s="1"/>
  <c r="AD50" i="1" s="1"/>
  <c r="AK50" i="1"/>
  <c r="AJ50" i="1"/>
  <c r="AH50" i="1"/>
  <c r="AG50" i="1"/>
  <c r="AF50" i="1"/>
  <c r="AC50" i="1"/>
  <c r="AB50" i="1"/>
  <c r="Z50" i="1"/>
  <c r="J50" i="1"/>
  <c r="AL50" i="1" s="1"/>
  <c r="BJ49" i="1"/>
  <c r="BF49" i="1"/>
  <c r="BD49" i="1"/>
  <c r="AP49" i="1"/>
  <c r="BI49" i="1" s="1"/>
  <c r="AE49" i="1" s="1"/>
  <c r="AO49" i="1"/>
  <c r="BH49" i="1" s="1"/>
  <c r="AD49" i="1" s="1"/>
  <c r="AK49" i="1"/>
  <c r="AJ49" i="1"/>
  <c r="AH49" i="1"/>
  <c r="AG49" i="1"/>
  <c r="AF49" i="1"/>
  <c r="AC49" i="1"/>
  <c r="AB49" i="1"/>
  <c r="Z49" i="1"/>
  <c r="J49" i="1"/>
  <c r="AL49" i="1" s="1"/>
  <c r="BJ48" i="1"/>
  <c r="BF48" i="1"/>
  <c r="BD48" i="1"/>
  <c r="AP48" i="1"/>
  <c r="BI48" i="1" s="1"/>
  <c r="AE48" i="1" s="1"/>
  <c r="AO48" i="1"/>
  <c r="BH48" i="1" s="1"/>
  <c r="AD48" i="1" s="1"/>
  <c r="AL48" i="1"/>
  <c r="AK48" i="1"/>
  <c r="AJ48" i="1"/>
  <c r="AH48" i="1"/>
  <c r="AG48" i="1"/>
  <c r="AF48" i="1"/>
  <c r="AC48" i="1"/>
  <c r="AB48" i="1"/>
  <c r="Z48" i="1"/>
  <c r="J48" i="1"/>
  <c r="I48" i="1"/>
  <c r="H48" i="1"/>
  <c r="BJ47" i="1"/>
  <c r="BF47" i="1"/>
  <c r="BD47" i="1"/>
  <c r="AP47" i="1"/>
  <c r="BI47" i="1" s="1"/>
  <c r="AE47" i="1" s="1"/>
  <c r="AO47" i="1"/>
  <c r="AW47" i="1" s="1"/>
  <c r="AK47" i="1"/>
  <c r="AJ47" i="1"/>
  <c r="AH47" i="1"/>
  <c r="AG47" i="1"/>
  <c r="AF47" i="1"/>
  <c r="AC47" i="1"/>
  <c r="AB47" i="1"/>
  <c r="Z47" i="1"/>
  <c r="J47" i="1"/>
  <c r="AL47" i="1" s="1"/>
  <c r="BJ46" i="1"/>
  <c r="BF46" i="1"/>
  <c r="BD46" i="1"/>
  <c r="AP46" i="1"/>
  <c r="AX46" i="1" s="1"/>
  <c r="AO46" i="1"/>
  <c r="BH46" i="1" s="1"/>
  <c r="AD46" i="1" s="1"/>
  <c r="AK46" i="1"/>
  <c r="AJ46" i="1"/>
  <c r="AH46" i="1"/>
  <c r="AG46" i="1"/>
  <c r="AF46" i="1"/>
  <c r="AC46" i="1"/>
  <c r="AB46" i="1"/>
  <c r="Z46" i="1"/>
  <c r="J46" i="1"/>
  <c r="AL46" i="1" s="1"/>
  <c r="BJ45" i="1"/>
  <c r="BF45" i="1"/>
  <c r="BD45" i="1"/>
  <c r="AP45" i="1"/>
  <c r="BI45" i="1" s="1"/>
  <c r="AE45" i="1" s="1"/>
  <c r="AO45" i="1"/>
  <c r="BH45" i="1" s="1"/>
  <c r="AD45" i="1" s="1"/>
  <c r="AK45" i="1"/>
  <c r="AJ45" i="1"/>
  <c r="AH45" i="1"/>
  <c r="AG45" i="1"/>
  <c r="AF45" i="1"/>
  <c r="AC45" i="1"/>
  <c r="AB45" i="1"/>
  <c r="Z45" i="1"/>
  <c r="J45" i="1"/>
  <c r="AL45" i="1" s="1"/>
  <c r="H45" i="1"/>
  <c r="BJ44" i="1"/>
  <c r="BF44" i="1"/>
  <c r="BD44" i="1"/>
  <c r="AW44" i="1"/>
  <c r="AP44" i="1"/>
  <c r="BI44" i="1" s="1"/>
  <c r="AE44" i="1" s="1"/>
  <c r="AO44" i="1"/>
  <c r="BH44" i="1" s="1"/>
  <c r="AD44" i="1" s="1"/>
  <c r="AK44" i="1"/>
  <c r="AJ44" i="1"/>
  <c r="AH44" i="1"/>
  <c r="AG44" i="1"/>
  <c r="AF44" i="1"/>
  <c r="AC44" i="1"/>
  <c r="AB44" i="1"/>
  <c r="Z44" i="1"/>
  <c r="J44" i="1"/>
  <c r="AL44" i="1" s="1"/>
  <c r="I44" i="1"/>
  <c r="H44" i="1"/>
  <c r="BJ43" i="1"/>
  <c r="BF43" i="1"/>
  <c r="BD43" i="1"/>
  <c r="AP43" i="1"/>
  <c r="BI43" i="1" s="1"/>
  <c r="AE43" i="1" s="1"/>
  <c r="AO43" i="1"/>
  <c r="AW43" i="1" s="1"/>
  <c r="AK43" i="1"/>
  <c r="AJ43" i="1"/>
  <c r="AH43" i="1"/>
  <c r="AG43" i="1"/>
  <c r="AF43" i="1"/>
  <c r="AC43" i="1"/>
  <c r="AB43" i="1"/>
  <c r="Z43" i="1"/>
  <c r="J43" i="1"/>
  <c r="AL43" i="1" s="1"/>
  <c r="BJ42" i="1"/>
  <c r="BF42" i="1"/>
  <c r="BD42" i="1"/>
  <c r="AP42" i="1"/>
  <c r="AX42" i="1" s="1"/>
  <c r="AO42" i="1"/>
  <c r="BH42" i="1" s="1"/>
  <c r="AD42" i="1" s="1"/>
  <c r="AK42" i="1"/>
  <c r="AJ42" i="1"/>
  <c r="AH42" i="1"/>
  <c r="AG42" i="1"/>
  <c r="AF42" i="1"/>
  <c r="AC42" i="1"/>
  <c r="AB42" i="1"/>
  <c r="Z42" i="1"/>
  <c r="J42" i="1"/>
  <c r="AL42" i="1" s="1"/>
  <c r="BJ41" i="1"/>
  <c r="BF41" i="1"/>
  <c r="BD41" i="1"/>
  <c r="AP41" i="1"/>
  <c r="BI41" i="1" s="1"/>
  <c r="AE41" i="1" s="1"/>
  <c r="AO41" i="1"/>
  <c r="BH41" i="1" s="1"/>
  <c r="AD41" i="1" s="1"/>
  <c r="AK41" i="1"/>
  <c r="AJ41" i="1"/>
  <c r="AH41" i="1"/>
  <c r="AG41" i="1"/>
  <c r="AF41" i="1"/>
  <c r="AC41" i="1"/>
  <c r="AB41" i="1"/>
  <c r="Z41" i="1"/>
  <c r="J41" i="1"/>
  <c r="AL41" i="1" s="1"/>
  <c r="H41" i="1"/>
  <c r="BJ40" i="1"/>
  <c r="BF40" i="1"/>
  <c r="BD40" i="1"/>
  <c r="AW40" i="1"/>
  <c r="AP40" i="1"/>
  <c r="BI40" i="1" s="1"/>
  <c r="AE40" i="1" s="1"/>
  <c r="AO40" i="1"/>
  <c r="BH40" i="1" s="1"/>
  <c r="AD40" i="1" s="1"/>
  <c r="AK40" i="1"/>
  <c r="AJ40" i="1"/>
  <c r="AH40" i="1"/>
  <c r="AG40" i="1"/>
  <c r="AF40" i="1"/>
  <c r="AC40" i="1"/>
  <c r="AB40" i="1"/>
  <c r="Z40" i="1"/>
  <c r="J40" i="1"/>
  <c r="AL40" i="1" s="1"/>
  <c r="I40" i="1"/>
  <c r="H40" i="1"/>
  <c r="BJ39" i="1"/>
  <c r="BF39" i="1"/>
  <c r="BD39" i="1"/>
  <c r="AP39" i="1"/>
  <c r="BI39" i="1" s="1"/>
  <c r="AE39" i="1" s="1"/>
  <c r="AO39" i="1"/>
  <c r="AW39" i="1" s="1"/>
  <c r="AK39" i="1"/>
  <c r="AJ39" i="1"/>
  <c r="AH39" i="1"/>
  <c r="AG39" i="1"/>
  <c r="AF39" i="1"/>
  <c r="AC39" i="1"/>
  <c r="AB39" i="1"/>
  <c r="Z39" i="1"/>
  <c r="J39" i="1"/>
  <c r="AL39" i="1" s="1"/>
  <c r="BJ38" i="1"/>
  <c r="BF38" i="1"/>
  <c r="BD38" i="1"/>
  <c r="AP38" i="1"/>
  <c r="AX38" i="1" s="1"/>
  <c r="AO38" i="1"/>
  <c r="BH38" i="1" s="1"/>
  <c r="AD38" i="1" s="1"/>
  <c r="AK38" i="1"/>
  <c r="AJ38" i="1"/>
  <c r="AH38" i="1"/>
  <c r="AG38" i="1"/>
  <c r="AF38" i="1"/>
  <c r="AC38" i="1"/>
  <c r="AB38" i="1"/>
  <c r="Z38" i="1"/>
  <c r="J38" i="1"/>
  <c r="AL38" i="1" s="1"/>
  <c r="BJ37" i="1"/>
  <c r="BF37" i="1"/>
  <c r="BD37" i="1"/>
  <c r="AP37" i="1"/>
  <c r="BI37" i="1" s="1"/>
  <c r="AE37" i="1" s="1"/>
  <c r="AO37" i="1"/>
  <c r="BH37" i="1" s="1"/>
  <c r="AD37" i="1" s="1"/>
  <c r="AK37" i="1"/>
  <c r="AJ37" i="1"/>
  <c r="AH37" i="1"/>
  <c r="AG37" i="1"/>
  <c r="AF37" i="1"/>
  <c r="AC37" i="1"/>
  <c r="AB37" i="1"/>
  <c r="Z37" i="1"/>
  <c r="J37" i="1"/>
  <c r="AL37" i="1" s="1"/>
  <c r="BJ35" i="1"/>
  <c r="BF35" i="1"/>
  <c r="BD35" i="1"/>
  <c r="AP35" i="1"/>
  <c r="AX35" i="1" s="1"/>
  <c r="AO35" i="1"/>
  <c r="BH35" i="1" s="1"/>
  <c r="AD35" i="1" s="1"/>
  <c r="AK35" i="1"/>
  <c r="AJ35" i="1"/>
  <c r="AH35" i="1"/>
  <c r="AG35" i="1"/>
  <c r="AF35" i="1"/>
  <c r="AC35" i="1"/>
  <c r="AB35" i="1"/>
  <c r="Z35" i="1"/>
  <c r="J35" i="1"/>
  <c r="AL35" i="1" s="1"/>
  <c r="BJ34" i="1"/>
  <c r="BF34" i="1"/>
  <c r="BD34" i="1"/>
  <c r="AP34" i="1"/>
  <c r="BI34" i="1" s="1"/>
  <c r="AE34" i="1" s="1"/>
  <c r="AO34" i="1"/>
  <c r="BH34" i="1" s="1"/>
  <c r="AD34" i="1" s="1"/>
  <c r="AK34" i="1"/>
  <c r="AJ34" i="1"/>
  <c r="AH34" i="1"/>
  <c r="AG34" i="1"/>
  <c r="AF34" i="1"/>
  <c r="AC34" i="1"/>
  <c r="AB34" i="1"/>
  <c r="Z34" i="1"/>
  <c r="J34" i="1"/>
  <c r="AL34" i="1" s="1"/>
  <c r="H34" i="1"/>
  <c r="BJ33" i="1"/>
  <c r="BF33" i="1"/>
  <c r="BD33" i="1"/>
  <c r="AW33" i="1"/>
  <c r="AP33" i="1"/>
  <c r="BI33" i="1" s="1"/>
  <c r="AE33" i="1" s="1"/>
  <c r="AO33" i="1"/>
  <c r="BH33" i="1" s="1"/>
  <c r="AD33" i="1" s="1"/>
  <c r="AK33" i="1"/>
  <c r="AT31" i="1" s="1"/>
  <c r="AJ33" i="1"/>
  <c r="AH33" i="1"/>
  <c r="AG33" i="1"/>
  <c r="AF33" i="1"/>
  <c r="AC33" i="1"/>
  <c r="AB33" i="1"/>
  <c r="Z33" i="1"/>
  <c r="J33" i="1"/>
  <c r="AL33" i="1" s="1"/>
  <c r="I33" i="1"/>
  <c r="H33" i="1"/>
  <c r="BJ32" i="1"/>
  <c r="BF32" i="1"/>
  <c r="BD32" i="1"/>
  <c r="AP32" i="1"/>
  <c r="BI32" i="1" s="1"/>
  <c r="AE32" i="1" s="1"/>
  <c r="AO32" i="1"/>
  <c r="AW32" i="1" s="1"/>
  <c r="AK32" i="1"/>
  <c r="AJ32" i="1"/>
  <c r="AH32" i="1"/>
  <c r="AG32" i="1"/>
  <c r="AF32" i="1"/>
  <c r="AC32" i="1"/>
  <c r="AB32" i="1"/>
  <c r="Z32" i="1"/>
  <c r="J32" i="1"/>
  <c r="AL32" i="1" s="1"/>
  <c r="AS31" i="1"/>
  <c r="BJ30" i="1"/>
  <c r="BF30" i="1"/>
  <c r="BD30" i="1"/>
  <c r="AW30" i="1"/>
  <c r="AP30" i="1"/>
  <c r="BI30" i="1" s="1"/>
  <c r="AE30" i="1" s="1"/>
  <c r="AO30" i="1"/>
  <c r="BH30" i="1" s="1"/>
  <c r="AD30" i="1" s="1"/>
  <c r="AK30" i="1"/>
  <c r="AJ30" i="1"/>
  <c r="AH30" i="1"/>
  <c r="AG30" i="1"/>
  <c r="AF30" i="1"/>
  <c r="AC30" i="1"/>
  <c r="AB30" i="1"/>
  <c r="Z30" i="1"/>
  <c r="J30" i="1"/>
  <c r="AL30" i="1" s="1"/>
  <c r="I30" i="1"/>
  <c r="H30" i="1"/>
  <c r="BJ29" i="1"/>
  <c r="BF29" i="1"/>
  <c r="BD29" i="1"/>
  <c r="AP29" i="1"/>
  <c r="BI29" i="1" s="1"/>
  <c r="AE29" i="1" s="1"/>
  <c r="AO29" i="1"/>
  <c r="AW29" i="1" s="1"/>
  <c r="AK29" i="1"/>
  <c r="AJ29" i="1"/>
  <c r="AH29" i="1"/>
  <c r="AG29" i="1"/>
  <c r="AF29" i="1"/>
  <c r="AC29" i="1"/>
  <c r="AB29" i="1"/>
  <c r="Z29" i="1"/>
  <c r="J29" i="1"/>
  <c r="AL29" i="1" s="1"/>
  <c r="BJ28" i="1"/>
  <c r="BF28" i="1"/>
  <c r="BD28" i="1"/>
  <c r="AP28" i="1"/>
  <c r="AX28" i="1" s="1"/>
  <c r="AO28" i="1"/>
  <c r="BH28" i="1" s="1"/>
  <c r="AD28" i="1" s="1"/>
  <c r="AK28" i="1"/>
  <c r="AJ28" i="1"/>
  <c r="AH28" i="1"/>
  <c r="AG28" i="1"/>
  <c r="AF28" i="1"/>
  <c r="AC28" i="1"/>
  <c r="AB28" i="1"/>
  <c r="Z28" i="1"/>
  <c r="J28" i="1"/>
  <c r="AL28" i="1" s="1"/>
  <c r="BJ27" i="1"/>
  <c r="BF27" i="1"/>
  <c r="BD27" i="1"/>
  <c r="AP27" i="1"/>
  <c r="BI27" i="1" s="1"/>
  <c r="AE27" i="1" s="1"/>
  <c r="AO27" i="1"/>
  <c r="BH27" i="1" s="1"/>
  <c r="AD27" i="1" s="1"/>
  <c r="AK27" i="1"/>
  <c r="AJ27" i="1"/>
  <c r="AH27" i="1"/>
  <c r="AG27" i="1"/>
  <c r="AF27" i="1"/>
  <c r="AC27" i="1"/>
  <c r="AB27" i="1"/>
  <c r="Z27" i="1"/>
  <c r="J27" i="1"/>
  <c r="AL27" i="1" s="1"/>
  <c r="H27" i="1"/>
  <c r="BJ26" i="1"/>
  <c r="BF26" i="1"/>
  <c r="BD26" i="1"/>
  <c r="AW26" i="1"/>
  <c r="AP26" i="1"/>
  <c r="BI26" i="1" s="1"/>
  <c r="AE26" i="1" s="1"/>
  <c r="AO26" i="1"/>
  <c r="BH26" i="1" s="1"/>
  <c r="AD26" i="1" s="1"/>
  <c r="AK26" i="1"/>
  <c r="AJ26" i="1"/>
  <c r="AH26" i="1"/>
  <c r="AG26" i="1"/>
  <c r="AF26" i="1"/>
  <c r="AC26" i="1"/>
  <c r="AB26" i="1"/>
  <c r="Z26" i="1"/>
  <c r="J26" i="1"/>
  <c r="AL26" i="1" s="1"/>
  <c r="I26" i="1"/>
  <c r="H26" i="1"/>
  <c r="BJ25" i="1"/>
  <c r="BF25" i="1"/>
  <c r="BD25" i="1"/>
  <c r="AP25" i="1"/>
  <c r="BI25" i="1" s="1"/>
  <c r="AE25" i="1" s="1"/>
  <c r="AO25" i="1"/>
  <c r="AW25" i="1" s="1"/>
  <c r="AK25" i="1"/>
  <c r="AJ25" i="1"/>
  <c r="AH25" i="1"/>
  <c r="AG25" i="1"/>
  <c r="AF25" i="1"/>
  <c r="AC25" i="1"/>
  <c r="AB25" i="1"/>
  <c r="Z25" i="1"/>
  <c r="J25" i="1"/>
  <c r="AL25" i="1" s="1"/>
  <c r="BJ24" i="1"/>
  <c r="BF24" i="1"/>
  <c r="BD24" i="1"/>
  <c r="AP24" i="1"/>
  <c r="AX24" i="1" s="1"/>
  <c r="AO24" i="1"/>
  <c r="BH24" i="1" s="1"/>
  <c r="AD24" i="1" s="1"/>
  <c r="AK24" i="1"/>
  <c r="AJ24" i="1"/>
  <c r="AS23" i="1" s="1"/>
  <c r="AH24" i="1"/>
  <c r="AG24" i="1"/>
  <c r="AF24" i="1"/>
  <c r="AC24" i="1"/>
  <c r="AB24" i="1"/>
  <c r="Z24" i="1"/>
  <c r="J24" i="1"/>
  <c r="AL24" i="1" s="1"/>
  <c r="AT23" i="1"/>
  <c r="BJ21" i="1"/>
  <c r="BF21" i="1"/>
  <c r="BD21" i="1"/>
  <c r="AX21" i="1"/>
  <c r="AP21" i="1"/>
  <c r="BI21" i="1" s="1"/>
  <c r="AC21" i="1" s="1"/>
  <c r="AO21" i="1"/>
  <c r="AW21" i="1" s="1"/>
  <c r="AK21" i="1"/>
  <c r="AT20" i="1" s="1"/>
  <c r="AJ21" i="1"/>
  <c r="AS20" i="1" s="1"/>
  <c r="AH21" i="1"/>
  <c r="AG21" i="1"/>
  <c r="AF21" i="1"/>
  <c r="AE21" i="1"/>
  <c r="AD21" i="1"/>
  <c r="Z21" i="1"/>
  <c r="J21" i="1"/>
  <c r="AL21" i="1" s="1"/>
  <c r="AU20" i="1" s="1"/>
  <c r="I21" i="1"/>
  <c r="I20" i="1" s="1"/>
  <c r="BJ19" i="1"/>
  <c r="BF19" i="1"/>
  <c r="BD19" i="1"/>
  <c r="AP19" i="1"/>
  <c r="BI19" i="1" s="1"/>
  <c r="AC19" i="1" s="1"/>
  <c r="AO19" i="1"/>
  <c r="BH19" i="1" s="1"/>
  <c r="AB19" i="1" s="1"/>
  <c r="AK19" i="1"/>
  <c r="AJ19" i="1"/>
  <c r="AH19" i="1"/>
  <c r="AG19" i="1"/>
  <c r="AF19" i="1"/>
  <c r="AE19" i="1"/>
  <c r="AD19" i="1"/>
  <c r="Z19" i="1"/>
  <c r="J19" i="1"/>
  <c r="AL19" i="1" s="1"/>
  <c r="I19" i="1"/>
  <c r="H19" i="1"/>
  <c r="BJ18" i="1"/>
  <c r="BF18" i="1"/>
  <c r="BD18" i="1"/>
  <c r="AX18" i="1"/>
  <c r="AP18" i="1"/>
  <c r="BI18" i="1" s="1"/>
  <c r="AC18" i="1" s="1"/>
  <c r="AO18" i="1"/>
  <c r="AW18" i="1" s="1"/>
  <c r="AK18" i="1"/>
  <c r="AT17" i="1" s="1"/>
  <c r="AJ18" i="1"/>
  <c r="AS17" i="1" s="1"/>
  <c r="AH18" i="1"/>
  <c r="AG18" i="1"/>
  <c r="AF18" i="1"/>
  <c r="AE18" i="1"/>
  <c r="AD18" i="1"/>
  <c r="Z18" i="1"/>
  <c r="J18" i="1"/>
  <c r="AL18" i="1" s="1"/>
  <c r="I18" i="1"/>
  <c r="I17" i="1" s="1"/>
  <c r="BJ16" i="1"/>
  <c r="BF16" i="1"/>
  <c r="BD16" i="1"/>
  <c r="AP16" i="1"/>
  <c r="BI16" i="1" s="1"/>
  <c r="AC16" i="1" s="1"/>
  <c r="AO16" i="1"/>
  <c r="BH16" i="1" s="1"/>
  <c r="AB16" i="1" s="1"/>
  <c r="AK16" i="1"/>
  <c r="AJ16" i="1"/>
  <c r="AH16" i="1"/>
  <c r="AG16" i="1"/>
  <c r="AF16" i="1"/>
  <c r="AE16" i="1"/>
  <c r="AD16" i="1"/>
  <c r="Z16" i="1"/>
  <c r="J16" i="1"/>
  <c r="AL16" i="1" s="1"/>
  <c r="I16" i="1"/>
  <c r="H16" i="1"/>
  <c r="BJ15" i="1"/>
  <c r="BF15" i="1"/>
  <c r="BD15" i="1"/>
  <c r="AX15" i="1"/>
  <c r="AP15" i="1"/>
  <c r="BI15" i="1" s="1"/>
  <c r="AC15" i="1" s="1"/>
  <c r="AO15" i="1"/>
  <c r="H15" i="1" s="1"/>
  <c r="AL15" i="1"/>
  <c r="AK15" i="1"/>
  <c r="AJ15" i="1"/>
  <c r="AH15" i="1"/>
  <c r="AG15" i="1"/>
  <c r="AF15" i="1"/>
  <c r="AE15" i="1"/>
  <c r="AD15" i="1"/>
  <c r="Z15" i="1"/>
  <c r="J15" i="1"/>
  <c r="I15" i="1"/>
  <c r="AT14" i="1"/>
  <c r="AS14" i="1"/>
  <c r="BJ13" i="1"/>
  <c r="BF13" i="1"/>
  <c r="BD13" i="1"/>
  <c r="AP13" i="1"/>
  <c r="BI13" i="1" s="1"/>
  <c r="AC13" i="1" s="1"/>
  <c r="AO13" i="1"/>
  <c r="BH13" i="1" s="1"/>
  <c r="AB13" i="1" s="1"/>
  <c r="AK13" i="1"/>
  <c r="C28" i="3" s="1"/>
  <c r="F28" i="3" s="1"/>
  <c r="AJ13" i="1"/>
  <c r="AS12" i="1" s="1"/>
  <c r="AH13" i="1"/>
  <c r="AG13" i="1"/>
  <c r="AF13" i="1"/>
  <c r="AE13" i="1"/>
  <c r="AD13" i="1"/>
  <c r="Z13" i="1"/>
  <c r="J13" i="1"/>
  <c r="J12" i="1" s="1"/>
  <c r="I13" i="1"/>
  <c r="I12" i="1" s="1"/>
  <c r="H13" i="1"/>
  <c r="H12" i="1" s="1"/>
  <c r="AU1" i="1"/>
  <c r="AT1" i="1"/>
  <c r="AS1" i="1"/>
  <c r="AW13" i="1" l="1"/>
  <c r="BH156" i="1"/>
  <c r="AD156" i="1" s="1"/>
  <c r="H156" i="1"/>
  <c r="BH180" i="1"/>
  <c r="AD180" i="1" s="1"/>
  <c r="AW180" i="1"/>
  <c r="I182" i="1"/>
  <c r="I181" i="1" s="1"/>
  <c r="BI182" i="1"/>
  <c r="AE182" i="1" s="1"/>
  <c r="BH194" i="1"/>
  <c r="AB194" i="1" s="1"/>
  <c r="H194" i="1"/>
  <c r="BI210" i="1"/>
  <c r="I210" i="1"/>
  <c r="BH213" i="1"/>
  <c r="H213" i="1"/>
  <c r="H212" i="1" s="1"/>
  <c r="AW213" i="1"/>
  <c r="AV239" i="1"/>
  <c r="BC239" i="1"/>
  <c r="H260" i="1"/>
  <c r="BH260" i="1"/>
  <c r="AB260" i="1" s="1"/>
  <c r="AW260" i="1"/>
  <c r="BH265" i="1"/>
  <c r="AF265" i="1" s="1"/>
  <c r="H265" i="1"/>
  <c r="AW265" i="1"/>
  <c r="AU14" i="1"/>
  <c r="C21" i="3"/>
  <c r="I47" i="1"/>
  <c r="I54" i="1"/>
  <c r="J64" i="1"/>
  <c r="I76" i="1"/>
  <c r="AX76" i="1"/>
  <c r="BC76" i="1" s="1"/>
  <c r="AX91" i="1"/>
  <c r="I97" i="1"/>
  <c r="AX97" i="1"/>
  <c r="H98" i="1"/>
  <c r="I130" i="1"/>
  <c r="AX130" i="1"/>
  <c r="I138" i="1"/>
  <c r="AX138" i="1"/>
  <c r="AX152" i="1"/>
  <c r="I153" i="1"/>
  <c r="H154" i="1"/>
  <c r="BI156" i="1"/>
  <c r="AE156" i="1" s="1"/>
  <c r="AX156" i="1"/>
  <c r="BH162" i="1"/>
  <c r="AD162" i="1" s="1"/>
  <c r="H162" i="1"/>
  <c r="I165" i="1"/>
  <c r="BH166" i="1"/>
  <c r="AD166" i="1" s="1"/>
  <c r="H166" i="1"/>
  <c r="AL169" i="1"/>
  <c r="AU168" i="1" s="1"/>
  <c r="J168" i="1"/>
  <c r="H180" i="1"/>
  <c r="BI193" i="1"/>
  <c r="AC193" i="1" s="1"/>
  <c r="I193" i="1"/>
  <c r="I204" i="1"/>
  <c r="AL210" i="1"/>
  <c r="J209" i="1"/>
  <c r="H220" i="1"/>
  <c r="BI222" i="1"/>
  <c r="I222" i="1"/>
  <c r="BH225" i="1"/>
  <c r="H225" i="1"/>
  <c r="H224" i="1" s="1"/>
  <c r="AW225" i="1"/>
  <c r="BH234" i="1"/>
  <c r="H234" i="1"/>
  <c r="H233" i="1" s="1"/>
  <c r="AW234" i="1"/>
  <c r="BH270" i="1"/>
  <c r="AF270" i="1" s="1"/>
  <c r="AW270" i="1"/>
  <c r="BH274" i="1"/>
  <c r="AF274" i="1" s="1"/>
  <c r="AW274" i="1"/>
  <c r="BH279" i="1"/>
  <c r="AF279" i="1" s="1"/>
  <c r="AW279" i="1"/>
  <c r="BH296" i="1"/>
  <c r="AF296" i="1" s="1"/>
  <c r="AW296" i="1"/>
  <c r="AX47" i="1"/>
  <c r="AV47" i="1" s="1"/>
  <c r="I91" i="1"/>
  <c r="AW19" i="1"/>
  <c r="I29" i="1"/>
  <c r="AX29" i="1"/>
  <c r="AV29" i="1" s="1"/>
  <c r="I32" i="1"/>
  <c r="AX32" i="1"/>
  <c r="H37" i="1"/>
  <c r="AS36" i="1"/>
  <c r="I43" i="1"/>
  <c r="AX43" i="1"/>
  <c r="AW52" i="1"/>
  <c r="H53" i="1"/>
  <c r="I60" i="1"/>
  <c r="AX60" i="1"/>
  <c r="H65" i="1"/>
  <c r="AS64" i="1"/>
  <c r="I71" i="1"/>
  <c r="AX71" i="1"/>
  <c r="AW81" i="1"/>
  <c r="AV81" i="1" s="1"/>
  <c r="H82" i="1"/>
  <c r="H96" i="1"/>
  <c r="AS95" i="1"/>
  <c r="I98" i="1"/>
  <c r="AW98" i="1"/>
  <c r="AV98" i="1" s="1"/>
  <c r="AW103" i="1"/>
  <c r="I111" i="1"/>
  <c r="AX111" i="1"/>
  <c r="H117" i="1"/>
  <c r="AS116" i="1"/>
  <c r="I123" i="1"/>
  <c r="AX123" i="1"/>
  <c r="I126" i="1"/>
  <c r="AX126" i="1"/>
  <c r="AW135" i="1"/>
  <c r="H136" i="1"/>
  <c r="AX136" i="1"/>
  <c r="AW141" i="1"/>
  <c r="I142" i="1"/>
  <c r="AX142" i="1"/>
  <c r="AW147" i="1"/>
  <c r="H148" i="1"/>
  <c r="AX148" i="1"/>
  <c r="I149" i="1"/>
  <c r="AW149" i="1"/>
  <c r="AV149" i="1" s="1"/>
  <c r="H150" i="1"/>
  <c r="I154" i="1"/>
  <c r="AX154" i="1"/>
  <c r="BH155" i="1"/>
  <c r="AD155" i="1" s="1"/>
  <c r="AW155" i="1"/>
  <c r="BH157" i="1"/>
  <c r="AD157" i="1" s="1"/>
  <c r="AW157" i="1"/>
  <c r="I176" i="1"/>
  <c r="I175" i="1" s="1"/>
  <c r="AS175" i="1"/>
  <c r="AX177" i="1"/>
  <c r="BH190" i="1"/>
  <c r="AB190" i="1" s="1"/>
  <c r="H190" i="1"/>
  <c r="H196" i="1"/>
  <c r="BH196" i="1"/>
  <c r="AB196" i="1" s="1"/>
  <c r="AW196" i="1"/>
  <c r="BI200" i="1"/>
  <c r="AC200" i="1" s="1"/>
  <c r="AX200" i="1"/>
  <c r="AL222" i="1"/>
  <c r="AU221" i="1" s="1"/>
  <c r="J221" i="1"/>
  <c r="H232" i="1"/>
  <c r="H230" i="1" s="1"/>
  <c r="BI235" i="1"/>
  <c r="I235" i="1"/>
  <c r="I233" i="1" s="1"/>
  <c r="AX235" i="1"/>
  <c r="BH243" i="1"/>
  <c r="AF243" i="1" s="1"/>
  <c r="H243" i="1"/>
  <c r="BH254" i="1"/>
  <c r="AF254" i="1" s="1"/>
  <c r="H254" i="1"/>
  <c r="H270" i="1"/>
  <c r="H274" i="1"/>
  <c r="BI281" i="1"/>
  <c r="AG281" i="1" s="1"/>
  <c r="AX281" i="1"/>
  <c r="I281" i="1"/>
  <c r="BI282" i="1"/>
  <c r="AG282" i="1" s="1"/>
  <c r="I282" i="1"/>
  <c r="AX282" i="1"/>
  <c r="BC282" i="1" s="1"/>
  <c r="BH288" i="1"/>
  <c r="AB288" i="1" s="1"/>
  <c r="AW288" i="1"/>
  <c r="H296" i="1"/>
  <c r="AL13" i="1"/>
  <c r="AU12" i="1" s="1"/>
  <c r="H14" i="1"/>
  <c r="AU17" i="1"/>
  <c r="J36" i="1"/>
  <c r="J116" i="1"/>
  <c r="I14" i="1"/>
  <c r="AW16" i="1"/>
  <c r="C27" i="3"/>
  <c r="J14" i="1"/>
  <c r="AW15" i="1"/>
  <c r="AV15" i="1" s="1"/>
  <c r="I25" i="1"/>
  <c r="AX25" i="1"/>
  <c r="AV25" i="1" s="1"/>
  <c r="AU31" i="1"/>
  <c r="AT36" i="1"/>
  <c r="I39" i="1"/>
  <c r="AX39" i="1"/>
  <c r="BC39" i="1" s="1"/>
  <c r="AW48" i="1"/>
  <c r="BC48" i="1" s="1"/>
  <c r="H49" i="1"/>
  <c r="I56" i="1"/>
  <c r="AX56" i="1"/>
  <c r="AU64" i="1"/>
  <c r="AT64" i="1"/>
  <c r="I67" i="1"/>
  <c r="AX67" i="1"/>
  <c r="BC67" i="1" s="1"/>
  <c r="AW77" i="1"/>
  <c r="H78" i="1"/>
  <c r="I84" i="1"/>
  <c r="AX84" i="1"/>
  <c r="AV84" i="1" s="1"/>
  <c r="AW92" i="1"/>
  <c r="BC92" i="1" s="1"/>
  <c r="H93" i="1"/>
  <c r="AU95" i="1"/>
  <c r="AX98" i="1"/>
  <c r="AX103" i="1"/>
  <c r="BC103" i="1" s="1"/>
  <c r="H104" i="1"/>
  <c r="I107" i="1"/>
  <c r="AX107" i="1"/>
  <c r="AU116" i="1"/>
  <c r="AT116" i="1"/>
  <c r="I119" i="1"/>
  <c r="AX119" i="1"/>
  <c r="H120" i="1"/>
  <c r="BI120" i="1"/>
  <c r="AE120" i="1" s="1"/>
  <c r="AU125" i="1"/>
  <c r="AW131" i="1"/>
  <c r="BC131" i="1" s="1"/>
  <c r="H132" i="1"/>
  <c r="AW139" i="1"/>
  <c r="H140" i="1"/>
  <c r="AX140" i="1"/>
  <c r="I150" i="1"/>
  <c r="AX150" i="1"/>
  <c r="BI157" i="1"/>
  <c r="AE157" i="1" s="1"/>
  <c r="AX157" i="1"/>
  <c r="I157" i="1"/>
  <c r="BH161" i="1"/>
  <c r="AD161" i="1" s="1"/>
  <c r="AW161" i="1"/>
  <c r="BH165" i="1"/>
  <c r="AD165" i="1" s="1"/>
  <c r="AW165" i="1"/>
  <c r="AV165" i="1" s="1"/>
  <c r="BH173" i="1"/>
  <c r="AD173" i="1" s="1"/>
  <c r="H173" i="1"/>
  <c r="H172" i="1" s="1"/>
  <c r="AT175" i="1"/>
  <c r="BI189" i="1"/>
  <c r="AC189" i="1" s="1"/>
  <c r="I189" i="1"/>
  <c r="BI195" i="1"/>
  <c r="AC195" i="1" s="1"/>
  <c r="I200" i="1"/>
  <c r="H203" i="1"/>
  <c r="H202" i="1" s="1"/>
  <c r="AW203" i="1"/>
  <c r="AU227" i="1"/>
  <c r="AL235" i="1"/>
  <c r="J233" i="1"/>
  <c r="AU240" i="1"/>
  <c r="BI242" i="1"/>
  <c r="AG242" i="1" s="1"/>
  <c r="I242" i="1"/>
  <c r="BH249" i="1"/>
  <c r="AF249" i="1" s="1"/>
  <c r="H249" i="1"/>
  <c r="AW249" i="1"/>
  <c r="BI253" i="1"/>
  <c r="AG253" i="1" s="1"/>
  <c r="I253" i="1"/>
  <c r="BI256" i="1"/>
  <c r="AG256" i="1" s="1"/>
  <c r="I256" i="1"/>
  <c r="AX256" i="1"/>
  <c r="AX268" i="1"/>
  <c r="AV268" i="1" s="1"/>
  <c r="BI268" i="1"/>
  <c r="AG268" i="1" s="1"/>
  <c r="I275" i="1"/>
  <c r="BH280" i="1"/>
  <c r="AF280" i="1" s="1"/>
  <c r="H280" i="1"/>
  <c r="H288" i="1"/>
  <c r="J290" i="1"/>
  <c r="AL291" i="1"/>
  <c r="AS290" i="1"/>
  <c r="AU181" i="1"/>
  <c r="BI183" i="1"/>
  <c r="AE183" i="1" s="1"/>
  <c r="AT185" i="1"/>
  <c r="AU185" i="1"/>
  <c r="H206" i="1"/>
  <c r="AT209" i="1"/>
  <c r="H218" i="1"/>
  <c r="AT221" i="1"/>
  <c r="BC158" i="1"/>
  <c r="J181" i="1"/>
  <c r="BI187" i="1"/>
  <c r="AC187" i="1" s="1"/>
  <c r="AX192" i="1"/>
  <c r="I196" i="1"/>
  <c r="J202" i="1"/>
  <c r="AS206" i="1"/>
  <c r="H209" i="1"/>
  <c r="J212" i="1"/>
  <c r="AT212" i="1"/>
  <c r="AS218" i="1"/>
  <c r="H221" i="1"/>
  <c r="J224" i="1"/>
  <c r="AT224" i="1"/>
  <c r="AS230" i="1"/>
  <c r="AS240" i="1"/>
  <c r="H250" i="1"/>
  <c r="AX251" i="1"/>
  <c r="BI251" i="1"/>
  <c r="AG251" i="1" s="1"/>
  <c r="I260" i="1"/>
  <c r="H266" i="1"/>
  <c r="BC268" i="1"/>
  <c r="AX294" i="1"/>
  <c r="AX301" i="1"/>
  <c r="I18" i="4"/>
  <c r="H186" i="1"/>
  <c r="AX196" i="1"/>
  <c r="AW197" i="1"/>
  <c r="H198" i="1"/>
  <c r="AX199" i="1"/>
  <c r="AL203" i="1"/>
  <c r="AX203" i="1"/>
  <c r="AS209" i="1"/>
  <c r="AW216" i="1"/>
  <c r="BC216" i="1" s="1"/>
  <c r="AS221" i="1"/>
  <c r="AW228" i="1"/>
  <c r="AW237" i="1"/>
  <c r="AV237" i="1" s="1"/>
  <c r="BH237" i="1"/>
  <c r="AX260" i="1"/>
  <c r="AW261" i="1"/>
  <c r="AX264" i="1"/>
  <c r="I267" i="1"/>
  <c r="AX267" i="1"/>
  <c r="I269" i="1"/>
  <c r="AX269" i="1"/>
  <c r="AX273" i="1"/>
  <c r="AX274" i="1"/>
  <c r="AW278" i="1"/>
  <c r="AX287" i="1"/>
  <c r="AX288" i="1"/>
  <c r="BC288" i="1" s="1"/>
  <c r="AT290" i="1"/>
  <c r="AW292" i="1"/>
  <c r="H293" i="1"/>
  <c r="AW295" i="1"/>
  <c r="AV295" i="1" s="1"/>
  <c r="AV32" i="1"/>
  <c r="BC32" i="1"/>
  <c r="AU23" i="1"/>
  <c r="BC25" i="1"/>
  <c r="AV39" i="1"/>
  <c r="AV43" i="1"/>
  <c r="BC43" i="1"/>
  <c r="AV18" i="1"/>
  <c r="BC18" i="1"/>
  <c r="AV21" i="1"/>
  <c r="BC21" i="1"/>
  <c r="AV51" i="1"/>
  <c r="BC51" i="1"/>
  <c r="AU36" i="1"/>
  <c r="BC47" i="1"/>
  <c r="BH18" i="1"/>
  <c r="AB18" i="1" s="1"/>
  <c r="BH21" i="1"/>
  <c r="AB21" i="1" s="1"/>
  <c r="BI24" i="1"/>
  <c r="AE24" i="1" s="1"/>
  <c r="BH25" i="1"/>
  <c r="AD25" i="1" s="1"/>
  <c r="BI28" i="1"/>
  <c r="AE28" i="1" s="1"/>
  <c r="BH29" i="1"/>
  <c r="AD29" i="1" s="1"/>
  <c r="BH32" i="1"/>
  <c r="AD32" i="1" s="1"/>
  <c r="BI35" i="1"/>
  <c r="AE35" i="1" s="1"/>
  <c r="BI38" i="1"/>
  <c r="AE38" i="1" s="1"/>
  <c r="BH39" i="1"/>
  <c r="AD39" i="1" s="1"/>
  <c r="BI42" i="1"/>
  <c r="AE42" i="1" s="1"/>
  <c r="BH43" i="1"/>
  <c r="AD43" i="1" s="1"/>
  <c r="BI46" i="1"/>
  <c r="AE46" i="1" s="1"/>
  <c r="BH47" i="1"/>
  <c r="AD47" i="1" s="1"/>
  <c r="BI50" i="1"/>
  <c r="AE50" i="1" s="1"/>
  <c r="BH51" i="1"/>
  <c r="AD51" i="1" s="1"/>
  <c r="BI54" i="1"/>
  <c r="AE54" i="1" s="1"/>
  <c r="AV71" i="1"/>
  <c r="BC71" i="1"/>
  <c r="BH15" i="1"/>
  <c r="AB15" i="1" s="1"/>
  <c r="AT12" i="1"/>
  <c r="C20" i="3"/>
  <c r="AX13" i="1"/>
  <c r="AV13" i="1" s="1"/>
  <c r="BC15" i="1"/>
  <c r="AX16" i="1"/>
  <c r="BC16" i="1" s="1"/>
  <c r="AX19" i="1"/>
  <c r="AV19" i="1" s="1"/>
  <c r="J23" i="1"/>
  <c r="H24" i="1"/>
  <c r="AX26" i="1"/>
  <c r="AV26" i="1" s="1"/>
  <c r="I27" i="1"/>
  <c r="AW27" i="1"/>
  <c r="H28" i="1"/>
  <c r="AX30" i="1"/>
  <c r="AV30" i="1" s="1"/>
  <c r="AX33" i="1"/>
  <c r="AV33" i="1" s="1"/>
  <c r="I34" i="1"/>
  <c r="I31" i="1" s="1"/>
  <c r="AW34" i="1"/>
  <c r="H35" i="1"/>
  <c r="I37" i="1"/>
  <c r="AW37" i="1"/>
  <c r="H38" i="1"/>
  <c r="AX40" i="1"/>
  <c r="AV40" i="1" s="1"/>
  <c r="I41" i="1"/>
  <c r="AW41" i="1"/>
  <c r="H42" i="1"/>
  <c r="AX44" i="1"/>
  <c r="AV44" i="1" s="1"/>
  <c r="I45" i="1"/>
  <c r="AW45" i="1"/>
  <c r="H46" i="1"/>
  <c r="AX48" i="1"/>
  <c r="I49" i="1"/>
  <c r="AW49" i="1"/>
  <c r="H50" i="1"/>
  <c r="AX52" i="1"/>
  <c r="I53" i="1"/>
  <c r="AW53" i="1"/>
  <c r="H54" i="1"/>
  <c r="AW55" i="1"/>
  <c r="H56" i="1"/>
  <c r="AW56" i="1"/>
  <c r="AX59" i="1"/>
  <c r="I59" i="1"/>
  <c r="BI59" i="1"/>
  <c r="AE59" i="1" s="1"/>
  <c r="AV67" i="1"/>
  <c r="BC84" i="1"/>
  <c r="AU87" i="1"/>
  <c r="J17" i="1"/>
  <c r="H18" i="1"/>
  <c r="H17" i="1" s="1"/>
  <c r="BC19" i="1"/>
  <c r="J20" i="1"/>
  <c r="H21" i="1"/>
  <c r="H20" i="1" s="1"/>
  <c r="I24" i="1"/>
  <c r="AW24" i="1"/>
  <c r="H25" i="1"/>
  <c r="AX27" i="1"/>
  <c r="I28" i="1"/>
  <c r="AW28" i="1"/>
  <c r="H29" i="1"/>
  <c r="J31" i="1"/>
  <c r="H32" i="1"/>
  <c r="AX34" i="1"/>
  <c r="I35" i="1"/>
  <c r="AW35" i="1"/>
  <c r="AX37" i="1"/>
  <c r="I38" i="1"/>
  <c r="AW38" i="1"/>
  <c r="H39" i="1"/>
  <c r="AX41" i="1"/>
  <c r="I42" i="1"/>
  <c r="AW42" i="1"/>
  <c r="H43" i="1"/>
  <c r="AX45" i="1"/>
  <c r="I46" i="1"/>
  <c r="AW46" i="1"/>
  <c r="H47" i="1"/>
  <c r="AX49" i="1"/>
  <c r="I50" i="1"/>
  <c r="AW50" i="1"/>
  <c r="H51" i="1"/>
  <c r="AX53" i="1"/>
  <c r="AW54" i="1"/>
  <c r="AX55" i="1"/>
  <c r="BH55" i="1"/>
  <c r="AD55" i="1" s="1"/>
  <c r="AX58" i="1"/>
  <c r="I58" i="1"/>
  <c r="AW60" i="1"/>
  <c r="H60" i="1"/>
  <c r="AX63" i="1"/>
  <c r="I63" i="1"/>
  <c r="BI63" i="1"/>
  <c r="AE63" i="1" s="1"/>
  <c r="AV80" i="1"/>
  <c r="BC80" i="1"/>
  <c r="BI58" i="1"/>
  <c r="AE58" i="1" s="1"/>
  <c r="BH60" i="1"/>
  <c r="AD60" i="1" s="1"/>
  <c r="AV76" i="1"/>
  <c r="AV91" i="1"/>
  <c r="BC91" i="1"/>
  <c r="BI66" i="1"/>
  <c r="AE66" i="1" s="1"/>
  <c r="BH67" i="1"/>
  <c r="AD67" i="1" s="1"/>
  <c r="BI70" i="1"/>
  <c r="AE70" i="1" s="1"/>
  <c r="BH71" i="1"/>
  <c r="AD71" i="1" s="1"/>
  <c r="BI74" i="1"/>
  <c r="AE74" i="1" s="1"/>
  <c r="BH76" i="1"/>
  <c r="AD76" i="1" s="1"/>
  <c r="BI79" i="1"/>
  <c r="AE79" i="1" s="1"/>
  <c r="BH80" i="1"/>
  <c r="AD80" i="1" s="1"/>
  <c r="BI83" i="1"/>
  <c r="AE83" i="1" s="1"/>
  <c r="BH84" i="1"/>
  <c r="AD84" i="1" s="1"/>
  <c r="BI90" i="1"/>
  <c r="AE90" i="1" s="1"/>
  <c r="BH91" i="1"/>
  <c r="AD91" i="1" s="1"/>
  <c r="BI94" i="1"/>
  <c r="AE94" i="1" s="1"/>
  <c r="AX108" i="1"/>
  <c r="AV108" i="1" s="1"/>
  <c r="I109" i="1"/>
  <c r="AW109" i="1"/>
  <c r="H110" i="1"/>
  <c r="AX112" i="1"/>
  <c r="AV112" i="1" s="1"/>
  <c r="I113" i="1"/>
  <c r="AW113" i="1"/>
  <c r="H114" i="1"/>
  <c r="I117" i="1"/>
  <c r="AW117" i="1"/>
  <c r="H118" i="1"/>
  <c r="I120" i="1"/>
  <c r="BC120" i="1"/>
  <c r="AX122" i="1"/>
  <c r="I122" i="1"/>
  <c r="BI122" i="1"/>
  <c r="AE122" i="1" s="1"/>
  <c r="AX57" i="1"/>
  <c r="AV57" i="1" s="1"/>
  <c r="AW58" i="1"/>
  <c r="H59" i="1"/>
  <c r="AX61" i="1"/>
  <c r="AV61" i="1" s="1"/>
  <c r="I62" i="1"/>
  <c r="AW62" i="1"/>
  <c r="H63" i="1"/>
  <c r="I65" i="1"/>
  <c r="AW65" i="1"/>
  <c r="H66" i="1"/>
  <c r="AX68" i="1"/>
  <c r="AV68" i="1" s="1"/>
  <c r="I69" i="1"/>
  <c r="AW69" i="1"/>
  <c r="H70" i="1"/>
  <c r="AX72" i="1"/>
  <c r="BC72" i="1" s="1"/>
  <c r="I73" i="1"/>
  <c r="AW73" i="1"/>
  <c r="H74" i="1"/>
  <c r="AX77" i="1"/>
  <c r="AV77" i="1" s="1"/>
  <c r="I78" i="1"/>
  <c r="AW78" i="1"/>
  <c r="H79" i="1"/>
  <c r="AX81" i="1"/>
  <c r="I82" i="1"/>
  <c r="AW82" i="1"/>
  <c r="H83" i="1"/>
  <c r="AX85" i="1"/>
  <c r="BC85" i="1" s="1"/>
  <c r="I86" i="1"/>
  <c r="AW86" i="1"/>
  <c r="AX88" i="1"/>
  <c r="AV88" i="1" s="1"/>
  <c r="I89" i="1"/>
  <c r="I87" i="1" s="1"/>
  <c r="AW89" i="1"/>
  <c r="H90" i="1"/>
  <c r="AX92" i="1"/>
  <c r="I93" i="1"/>
  <c r="AW93" i="1"/>
  <c r="H94" i="1"/>
  <c r="I96" i="1"/>
  <c r="AW96" i="1"/>
  <c r="H97" i="1"/>
  <c r="AX100" i="1"/>
  <c r="AV100" i="1" s="1"/>
  <c r="I101" i="1"/>
  <c r="AW101" i="1"/>
  <c r="H102" i="1"/>
  <c r="AX104" i="1"/>
  <c r="I105" i="1"/>
  <c r="AW105" i="1"/>
  <c r="H107" i="1"/>
  <c r="AX109" i="1"/>
  <c r="I110" i="1"/>
  <c r="AW110" i="1"/>
  <c r="H111" i="1"/>
  <c r="BC112" i="1"/>
  <c r="AX113" i="1"/>
  <c r="I114" i="1"/>
  <c r="AW114" i="1"/>
  <c r="AX117" i="1"/>
  <c r="I118" i="1"/>
  <c r="AW118" i="1"/>
  <c r="H119" i="1"/>
  <c r="AW119" i="1"/>
  <c r="AX121" i="1"/>
  <c r="I121" i="1"/>
  <c r="AW59" i="1"/>
  <c r="AX62" i="1"/>
  <c r="AW63" i="1"/>
  <c r="AX65" i="1"/>
  <c r="I66" i="1"/>
  <c r="AW66" i="1"/>
  <c r="H67" i="1"/>
  <c r="AX69" i="1"/>
  <c r="I70" i="1"/>
  <c r="AW70" i="1"/>
  <c r="H71" i="1"/>
  <c r="AX73" i="1"/>
  <c r="I74" i="1"/>
  <c r="AW74" i="1"/>
  <c r="H76" i="1"/>
  <c r="BC77" i="1"/>
  <c r="AX78" i="1"/>
  <c r="I79" i="1"/>
  <c r="AW79" i="1"/>
  <c r="H80" i="1"/>
  <c r="AX82" i="1"/>
  <c r="I83" i="1"/>
  <c r="AW83" i="1"/>
  <c r="H84" i="1"/>
  <c r="AX86" i="1"/>
  <c r="BC88" i="1"/>
  <c r="AX89" i="1"/>
  <c r="I90" i="1"/>
  <c r="AW90" i="1"/>
  <c r="H91" i="1"/>
  <c r="AX93" i="1"/>
  <c r="I94" i="1"/>
  <c r="AW94" i="1"/>
  <c r="AX96" i="1"/>
  <c r="AW97" i="1"/>
  <c r="AX101" i="1"/>
  <c r="AW102" i="1"/>
  <c r="AX105" i="1"/>
  <c r="AW107" i="1"/>
  <c r="AX110" i="1"/>
  <c r="AW111" i="1"/>
  <c r="AX114" i="1"/>
  <c r="AX118" i="1"/>
  <c r="BI121" i="1"/>
  <c r="AE121" i="1" s="1"/>
  <c r="AV135" i="1"/>
  <c r="AV131" i="1"/>
  <c r="AW121" i="1"/>
  <c r="H122" i="1"/>
  <c r="AX124" i="1"/>
  <c r="BC124" i="1" s="1"/>
  <c r="AX127" i="1"/>
  <c r="AV127" i="1" s="1"/>
  <c r="I128" i="1"/>
  <c r="AW128" i="1"/>
  <c r="H129" i="1"/>
  <c r="AX131" i="1"/>
  <c r="I132" i="1"/>
  <c r="AW132" i="1"/>
  <c r="H133" i="1"/>
  <c r="AX135" i="1"/>
  <c r="BC135" i="1" s="1"/>
  <c r="I136" i="1"/>
  <c r="AW136" i="1"/>
  <c r="H137" i="1"/>
  <c r="AX139" i="1"/>
  <c r="AV139" i="1" s="1"/>
  <c r="I140" i="1"/>
  <c r="AW140" i="1"/>
  <c r="H141" i="1"/>
  <c r="AX143" i="1"/>
  <c r="AV143" i="1" s="1"/>
  <c r="I144" i="1"/>
  <c r="AW144" i="1"/>
  <c r="H145" i="1"/>
  <c r="AX147" i="1"/>
  <c r="I148" i="1"/>
  <c r="AW148" i="1"/>
  <c r="H149" i="1"/>
  <c r="AX151" i="1"/>
  <c r="BC151" i="1" s="1"/>
  <c r="I152" i="1"/>
  <c r="AW152" i="1"/>
  <c r="H153" i="1"/>
  <c r="AX155" i="1"/>
  <c r="BC155" i="1" s="1"/>
  <c r="I156" i="1"/>
  <c r="AW156" i="1"/>
  <c r="H157" i="1"/>
  <c r="AV157" i="1"/>
  <c r="AV158" i="1"/>
  <c r="I159" i="1"/>
  <c r="AW159" i="1"/>
  <c r="H159" i="1"/>
  <c r="AW160" i="1"/>
  <c r="H160" i="1"/>
  <c r="AU175" i="1"/>
  <c r="AW122" i="1"/>
  <c r="H123" i="1"/>
  <c r="J125" i="1"/>
  <c r="H126" i="1"/>
  <c r="BC127" i="1"/>
  <c r="AX128" i="1"/>
  <c r="I129" i="1"/>
  <c r="AW129" i="1"/>
  <c r="H130" i="1"/>
  <c r="AX132" i="1"/>
  <c r="I133" i="1"/>
  <c r="AW133" i="1"/>
  <c r="H134" i="1"/>
  <c r="I137" i="1"/>
  <c r="H138" i="1"/>
  <c r="BC139" i="1"/>
  <c r="I141" i="1"/>
  <c r="H142" i="1"/>
  <c r="BC143" i="1"/>
  <c r="I145" i="1"/>
  <c r="H146" i="1"/>
  <c r="BH158" i="1"/>
  <c r="AD158" i="1" s="1"/>
  <c r="AW123" i="1"/>
  <c r="AW126" i="1"/>
  <c r="AX129" i="1"/>
  <c r="AW130" i="1"/>
  <c r="AX133" i="1"/>
  <c r="AW134" i="1"/>
  <c r="AX137" i="1"/>
  <c r="BC137" i="1" s="1"/>
  <c r="AW138" i="1"/>
  <c r="AX141" i="1"/>
  <c r="BC141" i="1" s="1"/>
  <c r="AW142" i="1"/>
  <c r="AX145" i="1"/>
  <c r="BC145" i="1" s="1"/>
  <c r="AW146" i="1"/>
  <c r="AX149" i="1"/>
  <c r="BC149" i="1" s="1"/>
  <c r="AW150" i="1"/>
  <c r="AX153" i="1"/>
  <c r="BC153" i="1" s="1"/>
  <c r="AW154" i="1"/>
  <c r="AX159" i="1"/>
  <c r="AX161" i="1"/>
  <c r="AV161" i="1" s="1"/>
  <c r="I162" i="1"/>
  <c r="AW162" i="1"/>
  <c r="H163" i="1"/>
  <c r="AX165" i="1"/>
  <c r="I166" i="1"/>
  <c r="AW166" i="1"/>
  <c r="H167" i="1"/>
  <c r="I169" i="1"/>
  <c r="AW169" i="1"/>
  <c r="H170" i="1"/>
  <c r="H168" i="1" s="1"/>
  <c r="I173" i="1"/>
  <c r="I172" i="1" s="1"/>
  <c r="AW173" i="1"/>
  <c r="AX176" i="1"/>
  <c r="AV176" i="1" s="1"/>
  <c r="I177" i="1"/>
  <c r="AW177" i="1"/>
  <c r="H178" i="1"/>
  <c r="AX180" i="1"/>
  <c r="BC180" i="1" s="1"/>
  <c r="AX182" i="1"/>
  <c r="AV182" i="1" s="1"/>
  <c r="BH182" i="1"/>
  <c r="AD182" i="1" s="1"/>
  <c r="AW183" i="1"/>
  <c r="H183" i="1"/>
  <c r="H181" i="1" s="1"/>
  <c r="AX186" i="1"/>
  <c r="I186" i="1"/>
  <c r="AW187" i="1"/>
  <c r="H187" i="1"/>
  <c r="H185" i="1" s="1"/>
  <c r="AX191" i="1"/>
  <c r="AX194" i="1"/>
  <c r="I194" i="1"/>
  <c r="AW195" i="1"/>
  <c r="H195" i="1"/>
  <c r="AU202" i="1"/>
  <c r="AX162" i="1"/>
  <c r="I163" i="1"/>
  <c r="AW163" i="1"/>
  <c r="H164" i="1"/>
  <c r="AX166" i="1"/>
  <c r="I167" i="1"/>
  <c r="AW167" i="1"/>
  <c r="AX169" i="1"/>
  <c r="I170" i="1"/>
  <c r="AW170" i="1"/>
  <c r="AX173" i="1"/>
  <c r="I178" i="1"/>
  <c r="H179" i="1"/>
  <c r="AS185" i="1"/>
  <c r="BI191" i="1"/>
  <c r="AC191" i="1" s="1"/>
  <c r="AW192" i="1"/>
  <c r="BH192" i="1"/>
  <c r="AB192" i="1" s="1"/>
  <c r="AU233" i="1"/>
  <c r="AX163" i="1"/>
  <c r="AW164" i="1"/>
  <c r="AX167" i="1"/>
  <c r="AX170" i="1"/>
  <c r="AX178" i="1"/>
  <c r="BC178" i="1" s="1"/>
  <c r="AW179" i="1"/>
  <c r="J185" i="1"/>
  <c r="AX187" i="1"/>
  <c r="AX190" i="1"/>
  <c r="I190" i="1"/>
  <c r="AW191" i="1"/>
  <c r="H191" i="1"/>
  <c r="AX195" i="1"/>
  <c r="BC197" i="1"/>
  <c r="AX198" i="1"/>
  <c r="I198" i="1"/>
  <c r="AW199" i="1"/>
  <c r="H199" i="1"/>
  <c r="AU206" i="1"/>
  <c r="AU209" i="1"/>
  <c r="BC210" i="1"/>
  <c r="AU212" i="1"/>
  <c r="AU215" i="1"/>
  <c r="AU218" i="1"/>
  <c r="AU245" i="1"/>
  <c r="AV188" i="1"/>
  <c r="BC188" i="1"/>
  <c r="AV196" i="1"/>
  <c r="BC196" i="1"/>
  <c r="AV200" i="1"/>
  <c r="BC200" i="1"/>
  <c r="AV203" i="1"/>
  <c r="BC203" i="1"/>
  <c r="AX205" i="1"/>
  <c r="I205" i="1"/>
  <c r="BI205" i="1"/>
  <c r="AC205" i="1" s="1"/>
  <c r="AX208" i="1"/>
  <c r="I208" i="1"/>
  <c r="I206" i="1" s="1"/>
  <c r="BI208" i="1"/>
  <c r="AX211" i="1"/>
  <c r="I211" i="1"/>
  <c r="I209" i="1" s="1"/>
  <c r="BI211" i="1"/>
  <c r="AX214" i="1"/>
  <c r="I214" i="1"/>
  <c r="I212" i="1" s="1"/>
  <c r="BI214" i="1"/>
  <c r="AX217" i="1"/>
  <c r="I217" i="1"/>
  <c r="I215" i="1" s="1"/>
  <c r="BI217" i="1"/>
  <c r="BI220" i="1"/>
  <c r="BI223" i="1"/>
  <c r="BI226" i="1"/>
  <c r="BI229" i="1"/>
  <c r="BI232" i="1"/>
  <c r="AX243" i="1"/>
  <c r="I243" i="1"/>
  <c r="AW244" i="1"/>
  <c r="H244" i="1"/>
  <c r="H240" i="1" s="1"/>
  <c r="AX246" i="1"/>
  <c r="I246" i="1"/>
  <c r="AW247" i="1"/>
  <c r="H247" i="1"/>
  <c r="AX254" i="1"/>
  <c r="I254" i="1"/>
  <c r="AW255" i="1"/>
  <c r="H255" i="1"/>
  <c r="AX262" i="1"/>
  <c r="I262" i="1"/>
  <c r="AW263" i="1"/>
  <c r="H263" i="1"/>
  <c r="AX276" i="1"/>
  <c r="I276" i="1"/>
  <c r="BC289" i="1"/>
  <c r="AW294" i="1"/>
  <c r="H294" i="1"/>
  <c r="BC295" i="1"/>
  <c r="AL301" i="1"/>
  <c r="J299" i="1"/>
  <c r="BI199" i="1"/>
  <c r="AC199" i="1" s="1"/>
  <c r="BH200" i="1"/>
  <c r="AB200" i="1" s="1"/>
  <c r="BH203" i="1"/>
  <c r="AB203" i="1" s="1"/>
  <c r="AV241" i="1"/>
  <c r="BC241" i="1"/>
  <c r="BI243" i="1"/>
  <c r="AG243" i="1" s="1"/>
  <c r="C19" i="3" s="1"/>
  <c r="AS245" i="1"/>
  <c r="BI246" i="1"/>
  <c r="AG246" i="1" s="1"/>
  <c r="AV252" i="1"/>
  <c r="BC252" i="1"/>
  <c r="BI254" i="1"/>
  <c r="AG254" i="1" s="1"/>
  <c r="AV260" i="1"/>
  <c r="BC260" i="1"/>
  <c r="BI262" i="1"/>
  <c r="AC262" i="1" s="1"/>
  <c r="AV274" i="1"/>
  <c r="BC274" i="1"/>
  <c r="BH294" i="1"/>
  <c r="AF294" i="1" s="1"/>
  <c r="H299" i="1"/>
  <c r="AW186" i="1"/>
  <c r="AX189" i="1"/>
  <c r="AV189" i="1" s="1"/>
  <c r="AW190" i="1"/>
  <c r="AX193" i="1"/>
  <c r="AV193" i="1" s="1"/>
  <c r="AW194" i="1"/>
  <c r="AX197" i="1"/>
  <c r="AV197" i="1" s="1"/>
  <c r="AW198" i="1"/>
  <c r="AX201" i="1"/>
  <c r="AV201" i="1" s="1"/>
  <c r="AX204" i="1"/>
  <c r="AV204" i="1" s="1"/>
  <c r="AW205" i="1"/>
  <c r="AX207" i="1"/>
  <c r="AV207" i="1" s="1"/>
  <c r="AW208" i="1"/>
  <c r="AX210" i="1"/>
  <c r="AV210" i="1" s="1"/>
  <c r="AW211" i="1"/>
  <c r="AX213" i="1"/>
  <c r="AV213" i="1" s="1"/>
  <c r="AW214" i="1"/>
  <c r="AX216" i="1"/>
  <c r="AW217" i="1"/>
  <c r="AX219" i="1"/>
  <c r="AV219" i="1" s="1"/>
  <c r="I220" i="1"/>
  <c r="I218" i="1" s="1"/>
  <c r="AW220" i="1"/>
  <c r="AX222" i="1"/>
  <c r="AV222" i="1" s="1"/>
  <c r="I223" i="1"/>
  <c r="I221" i="1" s="1"/>
  <c r="AW223" i="1"/>
  <c r="AX225" i="1"/>
  <c r="I226" i="1"/>
  <c r="I224" i="1" s="1"/>
  <c r="AW226" i="1"/>
  <c r="AX228" i="1"/>
  <c r="AV228" i="1" s="1"/>
  <c r="I229" i="1"/>
  <c r="I227" i="1" s="1"/>
  <c r="AW229" i="1"/>
  <c r="AX231" i="1"/>
  <c r="AV231" i="1" s="1"/>
  <c r="I232" i="1"/>
  <c r="I230" i="1" s="1"/>
  <c r="AW232" i="1"/>
  <c r="AX234" i="1"/>
  <c r="AV234" i="1" s="1"/>
  <c r="AW235" i="1"/>
  <c r="BC237" i="1"/>
  <c r="J240" i="1"/>
  <c r="AX244" i="1"/>
  <c r="BH244" i="1"/>
  <c r="AB244" i="1" s="1"/>
  <c r="J245" i="1"/>
  <c r="AT245" i="1"/>
  <c r="AX247" i="1"/>
  <c r="BH247" i="1"/>
  <c r="AF247" i="1" s="1"/>
  <c r="AX250" i="1"/>
  <c r="I250" i="1"/>
  <c r="AW251" i="1"/>
  <c r="H251" i="1"/>
  <c r="AX255" i="1"/>
  <c r="BH255" i="1"/>
  <c r="AF255" i="1" s="1"/>
  <c r="AX258" i="1"/>
  <c r="I258" i="1"/>
  <c r="AW259" i="1"/>
  <c r="H259" i="1"/>
  <c r="AX263" i="1"/>
  <c r="BH263" i="1"/>
  <c r="AF263" i="1" s="1"/>
  <c r="AX266" i="1"/>
  <c r="I266" i="1"/>
  <c r="AV282" i="1"/>
  <c r="AX293" i="1"/>
  <c r="I293" i="1"/>
  <c r="I290" i="1" s="1"/>
  <c r="AU299" i="1"/>
  <c r="AX300" i="1"/>
  <c r="BC300" i="1" s="1"/>
  <c r="I300" i="1"/>
  <c r="I299" i="1" s="1"/>
  <c r="BI300" i="1"/>
  <c r="AV238" i="1"/>
  <c r="I239" i="1"/>
  <c r="I236" i="1" s="1"/>
  <c r="BI239" i="1"/>
  <c r="BI244" i="1"/>
  <c r="AC244" i="1" s="1"/>
  <c r="BI247" i="1"/>
  <c r="AG247" i="1" s="1"/>
  <c r="AW248" i="1"/>
  <c r="BH248" i="1"/>
  <c r="AF248" i="1" s="1"/>
  <c r="BI255" i="1"/>
  <c r="AG255" i="1" s="1"/>
  <c r="AW256" i="1"/>
  <c r="BH256" i="1"/>
  <c r="AF256" i="1" s="1"/>
  <c r="BI263" i="1"/>
  <c r="AG263" i="1" s="1"/>
  <c r="AW264" i="1"/>
  <c r="BH264" i="1"/>
  <c r="AF264" i="1" s="1"/>
  <c r="BH267" i="1"/>
  <c r="AF267" i="1" s="1"/>
  <c r="AW267" i="1"/>
  <c r="H267" i="1"/>
  <c r="BI276" i="1"/>
  <c r="AG276" i="1" s="1"/>
  <c r="AW277" i="1"/>
  <c r="H277" i="1"/>
  <c r="BH277" i="1"/>
  <c r="AF277" i="1" s="1"/>
  <c r="AV291" i="1"/>
  <c r="BC291" i="1"/>
  <c r="AW301" i="1"/>
  <c r="H301" i="1"/>
  <c r="AX242" i="1"/>
  <c r="BC242" i="1" s="1"/>
  <c r="AW243" i="1"/>
  <c r="AW246" i="1"/>
  <c r="AX249" i="1"/>
  <c r="AV249" i="1" s="1"/>
  <c r="AW250" i="1"/>
  <c r="AX253" i="1"/>
  <c r="AV253" i="1" s="1"/>
  <c r="AW254" i="1"/>
  <c r="AX257" i="1"/>
  <c r="AV257" i="1" s="1"/>
  <c r="AW258" i="1"/>
  <c r="AX261" i="1"/>
  <c r="BC261" i="1" s="1"/>
  <c r="AW262" i="1"/>
  <c r="AX265" i="1"/>
  <c r="AV265" i="1" s="1"/>
  <c r="AW266" i="1"/>
  <c r="AX280" i="1"/>
  <c r="I280" i="1"/>
  <c r="BI280" i="1"/>
  <c r="AG280" i="1" s="1"/>
  <c r="AW281" i="1"/>
  <c r="H281" i="1"/>
  <c r="AU290" i="1"/>
  <c r="AX297" i="1"/>
  <c r="I297" i="1"/>
  <c r="AW298" i="1"/>
  <c r="H298" i="1"/>
  <c r="H290" i="1" s="1"/>
  <c r="F22" i="3"/>
  <c r="I27" i="4"/>
  <c r="AW269" i="1"/>
  <c r="H269" i="1"/>
  <c r="AX272" i="1"/>
  <c r="I272" i="1"/>
  <c r="BI272" i="1"/>
  <c r="AG272" i="1" s="1"/>
  <c r="AW273" i="1"/>
  <c r="H273" i="1"/>
  <c r="AV278" i="1"/>
  <c r="BC278" i="1"/>
  <c r="AX286" i="1"/>
  <c r="I286" i="1"/>
  <c r="BI286" i="1"/>
  <c r="AC286" i="1" s="1"/>
  <c r="AW287" i="1"/>
  <c r="H287" i="1"/>
  <c r="I22" i="3"/>
  <c r="AX270" i="1"/>
  <c r="AV270" i="1" s="1"/>
  <c r="AW271" i="1"/>
  <c r="BI294" i="1"/>
  <c r="AG294" i="1" s="1"/>
  <c r="BH295" i="1"/>
  <c r="AF295" i="1" s="1"/>
  <c r="BI298" i="1"/>
  <c r="AG298" i="1" s="1"/>
  <c r="AW272" i="1"/>
  <c r="AX275" i="1"/>
  <c r="AV275" i="1" s="1"/>
  <c r="AW276" i="1"/>
  <c r="AX279" i="1"/>
  <c r="AV279" i="1" s="1"/>
  <c r="AW280" i="1"/>
  <c r="AX284" i="1"/>
  <c r="AV284" i="1" s="1"/>
  <c r="AW286" i="1"/>
  <c r="AX289" i="1"/>
  <c r="AV289" i="1" s="1"/>
  <c r="AX292" i="1"/>
  <c r="AV292" i="1" s="1"/>
  <c r="AW293" i="1"/>
  <c r="AV85" i="1" l="1"/>
  <c r="AV72" i="1"/>
  <c r="C15" i="3"/>
  <c r="BC68" i="1"/>
  <c r="AV151" i="1"/>
  <c r="AV92" i="1"/>
  <c r="BC157" i="1"/>
  <c r="BC296" i="1"/>
  <c r="AV296" i="1"/>
  <c r="I202" i="1"/>
  <c r="BC165" i="1"/>
  <c r="I125" i="1"/>
  <c r="AV147" i="1"/>
  <c r="H116" i="1"/>
  <c r="H64" i="1"/>
  <c r="F29" i="4"/>
  <c r="BC257" i="1"/>
  <c r="AV288" i="1"/>
  <c r="BC228" i="1"/>
  <c r="BC201" i="1"/>
  <c r="AV178" i="1"/>
  <c r="BC98" i="1"/>
  <c r="H87" i="1"/>
  <c r="J302" i="1"/>
  <c r="BC52" i="1"/>
  <c r="AV48" i="1"/>
  <c r="BC29" i="1"/>
  <c r="BC292" i="1"/>
  <c r="C17" i="3"/>
  <c r="H245" i="1"/>
  <c r="BC275" i="1"/>
  <c r="BC265" i="1"/>
  <c r="C18" i="3"/>
  <c r="AV225" i="1"/>
  <c r="AV216" i="1"/>
  <c r="I240" i="1"/>
  <c r="H175" i="1"/>
  <c r="AV141" i="1"/>
  <c r="BC81" i="1"/>
  <c r="H95" i="1"/>
  <c r="AV155" i="1"/>
  <c r="I116" i="1"/>
  <c r="C16" i="3"/>
  <c r="H36" i="1"/>
  <c r="C14" i="3"/>
  <c r="C22" i="3" s="1"/>
  <c r="AV103" i="1"/>
  <c r="AV276" i="1"/>
  <c r="BC276" i="1"/>
  <c r="AV281" i="1"/>
  <c r="BC281" i="1"/>
  <c r="BC243" i="1"/>
  <c r="AV243" i="1"/>
  <c r="BC253" i="1"/>
  <c r="AV192" i="1"/>
  <c r="BC192" i="1"/>
  <c r="AV187" i="1"/>
  <c r="BC187" i="1"/>
  <c r="BC133" i="1"/>
  <c r="AV133" i="1"/>
  <c r="AV63" i="1"/>
  <c r="BC63" i="1"/>
  <c r="BC101" i="1"/>
  <c r="AV101" i="1"/>
  <c r="BC93" i="1"/>
  <c r="AV93" i="1"/>
  <c r="AV124" i="1"/>
  <c r="AV16" i="1"/>
  <c r="AV293" i="1"/>
  <c r="BC293" i="1"/>
  <c r="AV298" i="1"/>
  <c r="BC298" i="1"/>
  <c r="AV266" i="1"/>
  <c r="BC266" i="1"/>
  <c r="AV250" i="1"/>
  <c r="BC250" i="1"/>
  <c r="AV242" i="1"/>
  <c r="AV229" i="1"/>
  <c r="BC229" i="1"/>
  <c r="AV217" i="1"/>
  <c r="BC217" i="1"/>
  <c r="AV211" i="1"/>
  <c r="BC211" i="1"/>
  <c r="AV205" i="1"/>
  <c r="BC205" i="1"/>
  <c r="BC284" i="1"/>
  <c r="BC270" i="1"/>
  <c r="AV255" i="1"/>
  <c r="BC255" i="1"/>
  <c r="AV199" i="1"/>
  <c r="BC199" i="1"/>
  <c r="AV179" i="1"/>
  <c r="BC179" i="1"/>
  <c r="AV164" i="1"/>
  <c r="BC164" i="1"/>
  <c r="BC225" i="1"/>
  <c r="BC193" i="1"/>
  <c r="I185" i="1"/>
  <c r="AV183" i="1"/>
  <c r="BC183" i="1"/>
  <c r="AV173" i="1"/>
  <c r="BC173" i="1"/>
  <c r="I168" i="1"/>
  <c r="AV150" i="1"/>
  <c r="BC150" i="1"/>
  <c r="AV142" i="1"/>
  <c r="BC142" i="1"/>
  <c r="AV134" i="1"/>
  <c r="BC134" i="1"/>
  <c r="AV126" i="1"/>
  <c r="BC126" i="1"/>
  <c r="BC161" i="1"/>
  <c r="BC147" i="1"/>
  <c r="BC129" i="1"/>
  <c r="AV129" i="1"/>
  <c r="H125" i="1"/>
  <c r="AV122" i="1"/>
  <c r="BC122" i="1"/>
  <c r="AV156" i="1"/>
  <c r="BC156" i="1"/>
  <c r="AV152" i="1"/>
  <c r="BC152" i="1"/>
  <c r="AV148" i="1"/>
  <c r="BC148" i="1"/>
  <c r="AV144" i="1"/>
  <c r="BC144" i="1"/>
  <c r="AV140" i="1"/>
  <c r="BC140" i="1"/>
  <c r="AV136" i="1"/>
  <c r="BC136" i="1"/>
  <c r="AV132" i="1"/>
  <c r="BC132" i="1"/>
  <c r="AV128" i="1"/>
  <c r="BC128" i="1"/>
  <c r="AV111" i="1"/>
  <c r="BC111" i="1"/>
  <c r="AV102" i="1"/>
  <c r="BC102" i="1"/>
  <c r="AV94" i="1"/>
  <c r="BC94" i="1"/>
  <c r="AV83" i="1"/>
  <c r="BC83" i="1"/>
  <c r="AV66" i="1"/>
  <c r="BC66" i="1"/>
  <c r="AV137" i="1"/>
  <c r="BC114" i="1"/>
  <c r="AV114" i="1"/>
  <c r="BC108" i="1"/>
  <c r="AV104" i="1"/>
  <c r="BC104" i="1"/>
  <c r="BC96" i="1"/>
  <c r="AV96" i="1"/>
  <c r="AV145" i="1"/>
  <c r="BC61" i="1"/>
  <c r="AV54" i="1"/>
  <c r="BC54" i="1"/>
  <c r="AV50" i="1"/>
  <c r="BC50" i="1"/>
  <c r="BC44" i="1"/>
  <c r="BC30" i="1"/>
  <c r="I23" i="1"/>
  <c r="BC34" i="1"/>
  <c r="AV34" i="1"/>
  <c r="H23" i="1"/>
  <c r="AV286" i="1"/>
  <c r="BC286" i="1"/>
  <c r="AV259" i="1"/>
  <c r="BC259" i="1"/>
  <c r="AV226" i="1"/>
  <c r="BC226" i="1"/>
  <c r="AV198" i="1"/>
  <c r="BC198" i="1"/>
  <c r="AV190" i="1"/>
  <c r="BC190" i="1"/>
  <c r="BC231" i="1"/>
  <c r="BC170" i="1"/>
  <c r="AV170" i="1"/>
  <c r="BC119" i="1"/>
  <c r="AV119" i="1"/>
  <c r="BC89" i="1"/>
  <c r="AV89" i="1"/>
  <c r="I64" i="1"/>
  <c r="AV55" i="1"/>
  <c r="BC55" i="1"/>
  <c r="AV258" i="1"/>
  <c r="BC258" i="1"/>
  <c r="AV280" i="1"/>
  <c r="BC280" i="1"/>
  <c r="AV272" i="1"/>
  <c r="BC272" i="1"/>
  <c r="BC271" i="1"/>
  <c r="AV271" i="1"/>
  <c r="C29" i="3"/>
  <c r="AV264" i="1"/>
  <c r="BC264" i="1"/>
  <c r="AV256" i="1"/>
  <c r="BC256" i="1"/>
  <c r="AV248" i="1"/>
  <c r="BC248" i="1"/>
  <c r="BC249" i="1"/>
  <c r="AV232" i="1"/>
  <c r="BC232" i="1"/>
  <c r="AV220" i="1"/>
  <c r="BC220" i="1"/>
  <c r="BC194" i="1"/>
  <c r="AV194" i="1"/>
  <c r="BC186" i="1"/>
  <c r="AV186" i="1"/>
  <c r="AV247" i="1"/>
  <c r="BC247" i="1"/>
  <c r="BC222" i="1"/>
  <c r="BC219" i="1"/>
  <c r="BC213" i="1"/>
  <c r="BC207" i="1"/>
  <c r="BC189" i="1"/>
  <c r="BC176" i="1"/>
  <c r="BC204" i="1"/>
  <c r="AV195" i="1"/>
  <c r="BC195" i="1"/>
  <c r="AV177" i="1"/>
  <c r="BC177" i="1"/>
  <c r="AV123" i="1"/>
  <c r="BC123" i="1"/>
  <c r="AV180" i="1"/>
  <c r="AV160" i="1"/>
  <c r="BC160" i="1"/>
  <c r="BC121" i="1"/>
  <c r="AV121" i="1"/>
  <c r="AV90" i="1"/>
  <c r="BC90" i="1"/>
  <c r="AV79" i="1"/>
  <c r="BC79" i="1"/>
  <c r="AV59" i="1"/>
  <c r="BC59" i="1"/>
  <c r="BC118" i="1"/>
  <c r="AV118" i="1"/>
  <c r="BC110" i="1"/>
  <c r="AV110" i="1"/>
  <c r="I95" i="1"/>
  <c r="BC62" i="1"/>
  <c r="AV62" i="1"/>
  <c r="AV58" i="1"/>
  <c r="BC58" i="1"/>
  <c r="AV113" i="1"/>
  <c r="BC113" i="1"/>
  <c r="AV109" i="1"/>
  <c r="BC109" i="1"/>
  <c r="BC57" i="1"/>
  <c r="AV46" i="1"/>
  <c r="BC46" i="1"/>
  <c r="BC40" i="1"/>
  <c r="BC33" i="1"/>
  <c r="BC26" i="1"/>
  <c r="BC100" i="1"/>
  <c r="BC56" i="1"/>
  <c r="AV56" i="1"/>
  <c r="BC53" i="1"/>
  <c r="AV53" i="1"/>
  <c r="BC49" i="1"/>
  <c r="AV49" i="1"/>
  <c r="BC45" i="1"/>
  <c r="AV45" i="1"/>
  <c r="BC41" i="1"/>
  <c r="AV41" i="1"/>
  <c r="BC37" i="1"/>
  <c r="AV37" i="1"/>
  <c r="BC27" i="1"/>
  <c r="AV27" i="1"/>
  <c r="AV52" i="1"/>
  <c r="BC13" i="1"/>
  <c r="AV269" i="1"/>
  <c r="BC269" i="1"/>
  <c r="AV277" i="1"/>
  <c r="BC277" i="1"/>
  <c r="AV261" i="1"/>
  <c r="BC235" i="1"/>
  <c r="AV235" i="1"/>
  <c r="AV263" i="1"/>
  <c r="BC263" i="1"/>
  <c r="BC163" i="1"/>
  <c r="AV163" i="1"/>
  <c r="AV169" i="1"/>
  <c r="BC169" i="1"/>
  <c r="AV159" i="1"/>
  <c r="BC159" i="1"/>
  <c r="AV70" i="1"/>
  <c r="BC70" i="1"/>
  <c r="AV38" i="1"/>
  <c r="BC38" i="1"/>
  <c r="AV24" i="1"/>
  <c r="BC24" i="1"/>
  <c r="AV287" i="1"/>
  <c r="BC287" i="1"/>
  <c r="BC279" i="1"/>
  <c r="AV273" i="1"/>
  <c r="BC273" i="1"/>
  <c r="AV300" i="1"/>
  <c r="AV297" i="1"/>
  <c r="BC297" i="1"/>
  <c r="BC262" i="1"/>
  <c r="AV262" i="1"/>
  <c r="BC254" i="1"/>
  <c r="AV254" i="1"/>
  <c r="BC246" i="1"/>
  <c r="AV246" i="1"/>
  <c r="AV301" i="1"/>
  <c r="BC301" i="1"/>
  <c r="BC267" i="1"/>
  <c r="AV267" i="1"/>
  <c r="AV251" i="1"/>
  <c r="BC251" i="1"/>
  <c r="AV223" i="1"/>
  <c r="BC223" i="1"/>
  <c r="AV214" i="1"/>
  <c r="BC214" i="1"/>
  <c r="AV208" i="1"/>
  <c r="BC208" i="1"/>
  <c r="AV294" i="1"/>
  <c r="BC294" i="1"/>
  <c r="I245" i="1"/>
  <c r="AV244" i="1"/>
  <c r="BC244" i="1"/>
  <c r="AV191" i="1"/>
  <c r="BC191" i="1"/>
  <c r="BC167" i="1"/>
  <c r="AV167" i="1"/>
  <c r="BC234" i="1"/>
  <c r="AV166" i="1"/>
  <c r="BC166" i="1"/>
  <c r="AV162" i="1"/>
  <c r="BC162" i="1"/>
  <c r="AV154" i="1"/>
  <c r="BC154" i="1"/>
  <c r="AV146" i="1"/>
  <c r="BC146" i="1"/>
  <c r="AV138" i="1"/>
  <c r="BC138" i="1"/>
  <c r="AV130" i="1"/>
  <c r="BC130" i="1"/>
  <c r="BC182" i="1"/>
  <c r="AV107" i="1"/>
  <c r="BC107" i="1"/>
  <c r="AV97" i="1"/>
  <c r="BC97" i="1"/>
  <c r="AV74" i="1"/>
  <c r="BC74" i="1"/>
  <c r="AV153" i="1"/>
  <c r="BC105" i="1"/>
  <c r="AV105" i="1"/>
  <c r="BC86" i="1"/>
  <c r="AV86" i="1"/>
  <c r="BC82" i="1"/>
  <c r="AV82" i="1"/>
  <c r="BC78" i="1"/>
  <c r="AV78" i="1"/>
  <c r="BC73" i="1"/>
  <c r="AV73" i="1"/>
  <c r="BC69" i="1"/>
  <c r="AV69" i="1"/>
  <c r="BC65" i="1"/>
  <c r="AV65" i="1"/>
  <c r="AV117" i="1"/>
  <c r="BC117" i="1"/>
  <c r="AV60" i="1"/>
  <c r="BC60" i="1"/>
  <c r="AV42" i="1"/>
  <c r="BC42" i="1"/>
  <c r="AV35" i="1"/>
  <c r="BC35" i="1"/>
  <c r="H31" i="1"/>
  <c r="AV28" i="1"/>
  <c r="BC28" i="1"/>
  <c r="I36" i="1"/>
  <c r="F29" i="3" l="1"/>
  <c r="I28" i="3"/>
  <c r="I29" i="3" l="1"/>
</calcChain>
</file>

<file path=xl/sharedStrings.xml><?xml version="1.0" encoding="utf-8"?>
<sst xmlns="http://schemas.openxmlformats.org/spreadsheetml/2006/main" count="4026" uniqueCount="958">
  <si>
    <t>Slepý stavební rozpočet</t>
  </si>
  <si>
    <t>Název stavby:</t>
  </si>
  <si>
    <t>Rekonstrukce plynové kotelny</t>
  </si>
  <si>
    <t>Doba výstavby:</t>
  </si>
  <si>
    <t>17 dní</t>
  </si>
  <si>
    <t>Objednatel:</t>
  </si>
  <si>
    <t>Město Bohumín, Masarykova158, 735 81 Bohumín</t>
  </si>
  <si>
    <t>Druh stavby:</t>
  </si>
  <si>
    <t>Občanská vybavenost</t>
  </si>
  <si>
    <t>Začátek výstavby:</t>
  </si>
  <si>
    <t xml:space="preserve"> </t>
  </si>
  <si>
    <t>Projektant:</t>
  </si>
  <si>
    <t>Ing Stanislav Wilczek</t>
  </si>
  <si>
    <t>Umístění:</t>
  </si>
  <si>
    <t>1. Máje 217, Bohumín-Skřečoň</t>
  </si>
  <si>
    <t>Konec výstavby:</t>
  </si>
  <si>
    <t>Zhotovitel:</t>
  </si>
  <si>
    <t> </t>
  </si>
  <si>
    <t>JKSO:</t>
  </si>
  <si>
    <t>Zpracováno dne:</t>
  </si>
  <si>
    <t>02.12.2024</t>
  </si>
  <si>
    <t>Zpracoval:</t>
  </si>
  <si>
    <t>Ing. Stanislav Wilczek</t>
  </si>
  <si>
    <t>Č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</si>
  <si>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</si>
  <si>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</si>
  <si>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</si>
  <si>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</si>
  <si>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</si>
  <si>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</si>
  <si>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</si>
  <si>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</si>
  <si>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</si>
  <si>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</si>
  <si>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</si>
  <si>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</si>
  <si>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</si>
  <si>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</si>
  <si>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</si>
  <si>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Jednot.</t>
  </si>
  <si>
    <t>Celkem/MJ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</si>
  <si>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</si>
  <si>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</si>
  <si>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</si>
  <si>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</si>
  <si>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</si>
  <si>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</si>
  <si>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</si>
  <si>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</si>
  <si>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</si>
  <si>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</si>
  <si>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</si>
  <si>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</si>
  <si>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</si>
  <si>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11VD</t>
  </si>
  <si>
    <t>Vedlejší náklady</t>
  </si>
  <si>
    <t>1</t>
  </si>
  <si>
    <t>11001VD</t>
  </si>
  <si>
    <t>Hlídka po ukončení práce s otevř. ohněm</t>
  </si>
  <si>
    <t>hod</t>
  </si>
  <si>
    <t>11VD_</t>
  </si>
  <si>
    <t>1_</t>
  </si>
  <si>
    <t>_</t>
  </si>
  <si>
    <t>31</t>
  </si>
  <si>
    <t>Zdi podpěrné a volné</t>
  </si>
  <si>
    <t>2</t>
  </si>
  <si>
    <t>310237241RT1</t>
  </si>
  <si>
    <t>Zazdívka otvorů pl. 0,25 m2 cihlami, tl. zdi 30 cm</t>
  </si>
  <si>
    <t>kus</t>
  </si>
  <si>
    <t>31_</t>
  </si>
  <si>
    <t>3_</t>
  </si>
  <si>
    <t>3</t>
  </si>
  <si>
    <t>310236241RT1</t>
  </si>
  <si>
    <t>Dod. + mont. mřížky cca 15x15 pro odvětrání komímu</t>
  </si>
  <si>
    <t>34</t>
  </si>
  <si>
    <t>Stěny a příčky</t>
  </si>
  <si>
    <t>4</t>
  </si>
  <si>
    <t>340236211R00</t>
  </si>
  <si>
    <t>Zatěsnění průchodu kabelů zdí protipožárním tmelem</t>
  </si>
  <si>
    <t>34_</t>
  </si>
  <si>
    <t>5</t>
  </si>
  <si>
    <t>340235211R00</t>
  </si>
  <si>
    <t>Zatěsnění průchodu kabelů zdí akrylátovým tmelem</t>
  </si>
  <si>
    <t>61</t>
  </si>
  <si>
    <t>Úprava povrchů vnitřní</t>
  </si>
  <si>
    <t>6</t>
  </si>
  <si>
    <t>612451231R00</t>
  </si>
  <si>
    <t>Oprava omítek stěn štukových do 10 %</t>
  </si>
  <si>
    <t>m2</t>
  </si>
  <si>
    <t>61_</t>
  </si>
  <si>
    <t>6_</t>
  </si>
  <si>
    <t>27,69*3,05+41</t>
  </si>
  <si>
    <t>713</t>
  </si>
  <si>
    <t>Izolace tepelné potrubí</t>
  </si>
  <si>
    <t>7</t>
  </si>
  <si>
    <t>713400821R00</t>
  </si>
  <si>
    <t>Odstranění izolačních pásů  potrubí</t>
  </si>
  <si>
    <t>713_</t>
  </si>
  <si>
    <t>71_</t>
  </si>
  <si>
    <t>8</t>
  </si>
  <si>
    <t>722181235RY3</t>
  </si>
  <si>
    <t>Izolace návleková  tl. stěny 20 mm DN50</t>
  </si>
  <si>
    <t>m</t>
  </si>
  <si>
    <t>9</t>
  </si>
  <si>
    <t>722181235RW4</t>
  </si>
  <si>
    <t>Izolace návleková  tl. stěny 20 mm DN40</t>
  </si>
  <si>
    <t>10</t>
  </si>
  <si>
    <t>722181235RU1</t>
  </si>
  <si>
    <t>Izolace návleková  tl. stěny 20 mm DN25</t>
  </si>
  <si>
    <t>11</t>
  </si>
  <si>
    <t>722181231RU1</t>
  </si>
  <si>
    <t>Izolace návleková  tl. stěny 6 mm pr. 32 (SV)</t>
  </si>
  <si>
    <t>12</t>
  </si>
  <si>
    <t>Izolace návleková  tl. stěny 25 mm pr. 32 (TV, cTV)</t>
  </si>
  <si>
    <t>13</t>
  </si>
  <si>
    <t>722181235RT8</t>
  </si>
  <si>
    <t>Izolace návleková  tl. stěny 25 mm, pr. 25 (cTV)</t>
  </si>
  <si>
    <t>721</t>
  </si>
  <si>
    <t>Vnitřní kanalizace</t>
  </si>
  <si>
    <t>14</t>
  </si>
  <si>
    <t>721194103R00</t>
  </si>
  <si>
    <t>Redukce a propojky svodu kondenzátu (pro připojení hadice)</t>
  </si>
  <si>
    <t>721_</t>
  </si>
  <si>
    <t>72_</t>
  </si>
  <si>
    <t>15</t>
  </si>
  <si>
    <t>721176102R00</t>
  </si>
  <si>
    <t>Odvod kondenzátu - hadice plastová s výpletem DN20 vč.uchycení, propojení a zapáskování</t>
  </si>
  <si>
    <t>16</t>
  </si>
  <si>
    <t>Odvod kondenzátu - hadice plastová s výpletem pr. 28 vč.uchycení, propojení a zapáskování</t>
  </si>
  <si>
    <t>17</t>
  </si>
  <si>
    <t>722172334R00</t>
  </si>
  <si>
    <t>Potrubí plastové PP-R,  D 40 x 6,7 mm, PN 20</t>
  </si>
  <si>
    <t>722</t>
  </si>
  <si>
    <t>Vnitřní vodovod</t>
  </si>
  <si>
    <t>18</t>
  </si>
  <si>
    <t>722235313R00</t>
  </si>
  <si>
    <t>Potrubní oddělovač riz.tř.4 - např. SYR BA 6600D mini DN15</t>
  </si>
  <si>
    <t>722_</t>
  </si>
  <si>
    <t>19</t>
  </si>
  <si>
    <t>722216612R00</t>
  </si>
  <si>
    <t>Elektromagnetický ventil 230 V, DN15 / 1 MPa - např. PEVEKO MVPE2</t>
  </si>
  <si>
    <t>20</t>
  </si>
  <si>
    <t>722131911R00</t>
  </si>
  <si>
    <t>Oprava-potrubí závitové,vsazení odbočky DN 15</t>
  </si>
  <si>
    <t>21</t>
  </si>
  <si>
    <t>722131913R00</t>
  </si>
  <si>
    <t>Oprava-potrubí závitové, vsazení odbočky DN 25</t>
  </si>
  <si>
    <t>22</t>
  </si>
  <si>
    <t>722171912R00</t>
  </si>
  <si>
    <t>Odříznutí plastové trubky D 20 mm</t>
  </si>
  <si>
    <t>23</t>
  </si>
  <si>
    <t>722172962R00</t>
  </si>
  <si>
    <t>Propojení plast.potrubí polyf.D 20 mm, vodovod</t>
  </si>
  <si>
    <t>24</t>
  </si>
  <si>
    <t>722173912R00</t>
  </si>
  <si>
    <t>Spoje pro rozvod vody plast polyf. D 20 mm</t>
  </si>
  <si>
    <t>25</t>
  </si>
  <si>
    <t>722130802R00</t>
  </si>
  <si>
    <t>Demontáž potrubí ocelových závitových do DN 40 mm</t>
  </si>
  <si>
    <t>26</t>
  </si>
  <si>
    <t>Oprava-potrubí závitové,vsazení odbočky DN 25</t>
  </si>
  <si>
    <t>27</t>
  </si>
  <si>
    <t>722131914R00</t>
  </si>
  <si>
    <t>Oprava-potrubí závitové,vsazení odbočky DN 32</t>
  </si>
  <si>
    <t>28</t>
  </si>
  <si>
    <t>722172311R00</t>
  </si>
  <si>
    <t>Potrubí z PPR, D 20x2,8 mm, PN 16</t>
  </si>
  <si>
    <t>29</t>
  </si>
  <si>
    <t>722172332R00</t>
  </si>
  <si>
    <t>Potrubí z PPR, D 25x4,2 mm, PN 20</t>
  </si>
  <si>
    <t>30</t>
  </si>
  <si>
    <t>722172333R00</t>
  </si>
  <si>
    <t>Potrubí z PPR, D 32x5,4 mm, PN 20</t>
  </si>
  <si>
    <t>722179191R00</t>
  </si>
  <si>
    <t>Příplatek za malý rozsah do 20 m rozvodu</t>
  </si>
  <si>
    <t>soubor</t>
  </si>
  <si>
    <t>32</t>
  </si>
  <si>
    <t>722264112R00</t>
  </si>
  <si>
    <t>Vodoměr bytový SV DN 15x110 mm,Qn 1,5 vč. šroubení</t>
  </si>
  <si>
    <t>33</t>
  </si>
  <si>
    <t>722265314R00</t>
  </si>
  <si>
    <t>Vodoměr domovní SV  Qn=6,3 typ 25/6,3</t>
  </si>
  <si>
    <t>722239102R00</t>
  </si>
  <si>
    <t>Vyvažovací termostatický ventil pro cirkulaci TV</t>
  </si>
  <si>
    <t>35</t>
  </si>
  <si>
    <t>722171916R00</t>
  </si>
  <si>
    <t>Odříznutí plastové trubky D 50 mm</t>
  </si>
  <si>
    <t>36</t>
  </si>
  <si>
    <t>722171915R00</t>
  </si>
  <si>
    <t>Odříznutí plastové trubky D 40 mm</t>
  </si>
  <si>
    <t>37</t>
  </si>
  <si>
    <t>722171914R00</t>
  </si>
  <si>
    <t>Odříznutí plastové trubky D 32 mm</t>
  </si>
  <si>
    <t>38</t>
  </si>
  <si>
    <t>722171913R00</t>
  </si>
  <si>
    <t>Odříznutí plastové trubky D 25 mm</t>
  </si>
  <si>
    <t>39</t>
  </si>
  <si>
    <t>722172912R00</t>
  </si>
  <si>
    <t>Provedení propojení plastového vodovodního potrubí polyfuzí, D 20 mm</t>
  </si>
  <si>
    <t>40</t>
  </si>
  <si>
    <t>722172913R00</t>
  </si>
  <si>
    <t>Provedení propojení plastového vodovodního potrubí polyfuzí, D 25 mm</t>
  </si>
  <si>
    <t>41</t>
  </si>
  <si>
    <t>722172914R00</t>
  </si>
  <si>
    <t>Provedení propojení plastového vodovodního potrubí polyfuzí, D 32 mm</t>
  </si>
  <si>
    <t>42</t>
  </si>
  <si>
    <t>722172915R00</t>
  </si>
  <si>
    <t>Provedení propojení plastového vodovodního potrubí polyfuzí, D 40 mm</t>
  </si>
  <si>
    <t>43</t>
  </si>
  <si>
    <t>722172916R00</t>
  </si>
  <si>
    <t>Provedení propojení plastového vodovodního potrubí polyfuzí, D 50 mm</t>
  </si>
  <si>
    <t>44</t>
  </si>
  <si>
    <t>722220862R00</t>
  </si>
  <si>
    <t>Demontáž armatur s dvěma závity G 3/4-5/4"</t>
  </si>
  <si>
    <t>723</t>
  </si>
  <si>
    <t>Vnitřní plynovod</t>
  </si>
  <si>
    <t>45</t>
  </si>
  <si>
    <t>723190907R00</t>
  </si>
  <si>
    <t>Odplynění stávajícího plynového potrubí</t>
  </si>
  <si>
    <t>723_</t>
  </si>
  <si>
    <t>46</t>
  </si>
  <si>
    <t>Odvzdušnění a napuštění plynového potrubí</t>
  </si>
  <si>
    <t>47</t>
  </si>
  <si>
    <t>723150803R00</t>
  </si>
  <si>
    <t>Demontáž potrubí ocelového hladkého svařovaného D 76 mm</t>
  </si>
  <si>
    <t>48</t>
  </si>
  <si>
    <t>723120805R00</t>
  </si>
  <si>
    <t>Demontáž potrubí svařovaného závitového DN 25 - 50 mm</t>
  </si>
  <si>
    <t>49</t>
  </si>
  <si>
    <t>723190909R00</t>
  </si>
  <si>
    <t>Zkouška tlaková a zkouška těsnosti plynového potrubí</t>
  </si>
  <si>
    <t>50</t>
  </si>
  <si>
    <t>723237265R00</t>
  </si>
  <si>
    <t>Kulový kohout připojení manometru s nulováním TK1020 M20x1/2"</t>
  </si>
  <si>
    <t>51</t>
  </si>
  <si>
    <t>734271134R00</t>
  </si>
  <si>
    <t>Manometr pr. 160, 0-4 KPa</t>
  </si>
  <si>
    <t>52</t>
  </si>
  <si>
    <t>723190914R00</t>
  </si>
  <si>
    <t>Navaření odbočky na plynové potrubí DN 25 mm</t>
  </si>
  <si>
    <t>53</t>
  </si>
  <si>
    <t>723215157R00</t>
  </si>
  <si>
    <t>Kohout kulový DN 65 mm, přírubový</t>
  </si>
  <si>
    <t>54</t>
  </si>
  <si>
    <t>723239107R00</t>
  </si>
  <si>
    <t>El.mag.ventil DN50 PEVEKO EVPE M1065.036.02/P</t>
  </si>
  <si>
    <t>Bezpečnostní prvek - povinná součást dodávky</t>
  </si>
  <si>
    <t>55</t>
  </si>
  <si>
    <t>723239106R00</t>
  </si>
  <si>
    <t>El.mag.ventil DN50 PEVEKO EVPE M1065.036.02/P - nezapojená rezerva</t>
  </si>
  <si>
    <t>56</t>
  </si>
  <si>
    <t>723190251R00</t>
  </si>
  <si>
    <t>Vyvedení a upevnění plynovodních výpustek DN 15, záslepka</t>
  </si>
  <si>
    <t>57</t>
  </si>
  <si>
    <t>723235113R00</t>
  </si>
  <si>
    <t>Kohout kulový, vnitřní - vnitřní závit DN 25 mm</t>
  </si>
  <si>
    <t>58</t>
  </si>
  <si>
    <t>734264314R00</t>
  </si>
  <si>
    <t>Šroubení přímé DN 25</t>
  </si>
  <si>
    <t>59</t>
  </si>
  <si>
    <t>723110207R00</t>
  </si>
  <si>
    <t>Potrubí ocel. černé DN 50</t>
  </si>
  <si>
    <t>60</t>
  </si>
  <si>
    <t>723120204R00</t>
  </si>
  <si>
    <t>Potrubí ocel. černé DN 25 mm</t>
  </si>
  <si>
    <t>723110203R00</t>
  </si>
  <si>
    <t>Potrubí ocel. černé DN 20</t>
  </si>
  <si>
    <t>62</t>
  </si>
  <si>
    <t>723110202R00</t>
  </si>
  <si>
    <t>Potrubí ocel. černé DN 15</t>
  </si>
  <si>
    <t>63</t>
  </si>
  <si>
    <t>723150345R00</t>
  </si>
  <si>
    <t>Úprava připojení havarijního ventilu ve skřínce HUK + příruby</t>
  </si>
  <si>
    <t>64</t>
  </si>
  <si>
    <t>723190913R00</t>
  </si>
  <si>
    <t>Zaslepení odbočky - plynové potrubí DN 15-25 mm</t>
  </si>
  <si>
    <t>65</t>
  </si>
  <si>
    <t>723234221R00</t>
  </si>
  <si>
    <t>Regulátor středotlaký, bez armatur typ ALZ 6U Bd (nezapojená rezerva)</t>
  </si>
  <si>
    <t>731</t>
  </si>
  <si>
    <t>Kotelny</t>
  </si>
  <si>
    <t>66</t>
  </si>
  <si>
    <t>731391811R00</t>
  </si>
  <si>
    <t>Vypouštění vody z kotlů samospádem do 5 m2</t>
  </si>
  <si>
    <t>731_</t>
  </si>
  <si>
    <t>73_</t>
  </si>
  <si>
    <t>67</t>
  </si>
  <si>
    <t>731100831R00</t>
  </si>
  <si>
    <t>Demontáž kotle litinového G100 - 120 kW</t>
  </si>
  <si>
    <t>68</t>
  </si>
  <si>
    <t>731159316R00</t>
  </si>
  <si>
    <t>Montáž kondenzačního stacionárního kotle do 110 kW,</t>
  </si>
  <si>
    <t>69</t>
  </si>
  <si>
    <t>08001VD</t>
  </si>
  <si>
    <t>Plyn.kotel kond. ZP, 20-107 kW, š/h/v-600/671/1143</t>
  </si>
  <si>
    <t>70</t>
  </si>
  <si>
    <t>731412167R00</t>
  </si>
  <si>
    <t>Instalace neutralizačního zařízení</t>
  </si>
  <si>
    <t>71</t>
  </si>
  <si>
    <t>10027VD</t>
  </si>
  <si>
    <t>Neutralizační box pro výkony do 800 kW</t>
  </si>
  <si>
    <t>72</t>
  </si>
  <si>
    <t>10028VD</t>
  </si>
  <si>
    <t>Náhradní náplň neutralizačního granulátu 10 kg</t>
  </si>
  <si>
    <t>732</t>
  </si>
  <si>
    <t>Strojovny</t>
  </si>
  <si>
    <t>73</t>
  </si>
  <si>
    <t>732420812R00</t>
  </si>
  <si>
    <t>Demontáž čerpadel oběhových spirálních závitových</t>
  </si>
  <si>
    <t>732_</t>
  </si>
  <si>
    <t>74</t>
  </si>
  <si>
    <t>732419112R00</t>
  </si>
  <si>
    <t>Dávkovač inhibitoru DN100, výška 300mm, ocel 108x4</t>
  </si>
  <si>
    <t>75</t>
  </si>
  <si>
    <t>732331515R00</t>
  </si>
  <si>
    <t>Nádoba exp. pro TV 35 L/10 bar vč. průtokové armatury Flowjet1x3/4"</t>
  </si>
  <si>
    <t>Komplet exp. nádoby a průtokové armatury, zajišťující trvalou obměnu vody v exp. nádobě</t>
  </si>
  <si>
    <t>76</t>
  </si>
  <si>
    <t>732429112R00</t>
  </si>
  <si>
    <t>Montáž čerpadel oběhových spirálních, DN 25</t>
  </si>
  <si>
    <t>77</t>
  </si>
  <si>
    <t>42610992.A</t>
  </si>
  <si>
    <t>Oběh. čerp. 230 V / 4-34 W, 1,2 m3/h x 45 kPa, nerez  (cirk.TV) EUP</t>
  </si>
  <si>
    <t>78</t>
  </si>
  <si>
    <t>Oběh. čerp. 230 V / 4-50 W, 1,5 m3/h x 55 kPa EUP</t>
  </si>
  <si>
    <t>79</t>
  </si>
  <si>
    <t>Oběh. čerp. 230 V / 4-34 W, 1,6 m3/h x 30 kPa EUP - autoadapt f-ce</t>
  </si>
  <si>
    <t>80</t>
  </si>
  <si>
    <t>Oběh. čerp. 230 V / 9-124 W, 5,5 m3/h x 40 kPa / 6,5 x 35 kPa EUP - autoadapt f-ce</t>
  </si>
  <si>
    <t>81</t>
  </si>
  <si>
    <t>42103VD</t>
  </si>
  <si>
    <t>Čerpadlo oběhové DN25-230 V s PWM řízením 5 m3/h / 35 kPa</t>
  </si>
  <si>
    <t>Čerpadla z dodávky výrobce kotlů</t>
  </si>
  <si>
    <t>82</t>
  </si>
  <si>
    <t>732219304R00</t>
  </si>
  <si>
    <t>Dod.+mont. ohříváku vody stojat. nerez 447L/10 bar, výhř.plocha 5,5 m2</t>
  </si>
  <si>
    <t>83</t>
  </si>
  <si>
    <t>732324814R00</t>
  </si>
  <si>
    <t>Vypuštění vody z nádrží o obsahu do 500 l</t>
  </si>
  <si>
    <t>84</t>
  </si>
  <si>
    <t>732324815R00</t>
  </si>
  <si>
    <t>Vypuštění vody z nádrží o obsahu do 1000 l</t>
  </si>
  <si>
    <t>85</t>
  </si>
  <si>
    <t>732320815R00</t>
  </si>
  <si>
    <t>Odpojení nádrží od rozvodů potrubí, do 1000 l</t>
  </si>
  <si>
    <t>86</t>
  </si>
  <si>
    <t>732320814R00</t>
  </si>
  <si>
    <t>Odpojení nádrží od rozvodů potrubí, do 500 l</t>
  </si>
  <si>
    <t>87</t>
  </si>
  <si>
    <t>732339112R00</t>
  </si>
  <si>
    <t>Dod. + montáž nádoby expanzní tlakové 600 l / 6 bar</t>
  </si>
  <si>
    <t>88</t>
  </si>
  <si>
    <t>732291915R00</t>
  </si>
  <si>
    <t>Dod+nadávkování inhibitoru Fernox Protector F1 - 1% obsahu vody</t>
  </si>
  <si>
    <t>litr</t>
  </si>
  <si>
    <t>89</t>
  </si>
  <si>
    <t>000094VD</t>
  </si>
  <si>
    <t>Testovací sada Fernox Protector</t>
  </si>
  <si>
    <t>ks</t>
  </si>
  <si>
    <t>Sada bude dodavatelem stavby ponechána provozovateli kotelny pro potřebu testování</t>
  </si>
  <si>
    <t>733</t>
  </si>
  <si>
    <t>Rozvod potrubí</t>
  </si>
  <si>
    <t>90</t>
  </si>
  <si>
    <t>733110810R00</t>
  </si>
  <si>
    <t>Demontáž potrubí ocelového do DN 50</t>
  </si>
  <si>
    <t>733_</t>
  </si>
  <si>
    <t>91</t>
  </si>
  <si>
    <t>733121219R00</t>
  </si>
  <si>
    <t>Potrubí hladké bezešvé v kotelnách D 60,3 x 2,9 mm</t>
  </si>
  <si>
    <t>92</t>
  </si>
  <si>
    <t>733121217R00</t>
  </si>
  <si>
    <t>Potrubí hladké bezešvé v kotelnách D 48,3 x 2,6 mm</t>
  </si>
  <si>
    <t>93</t>
  </si>
  <si>
    <t>733121214R00</t>
  </si>
  <si>
    <t>Potrubí hladké bezešvé v kotelnách D 31,8 x 2,6 mm</t>
  </si>
  <si>
    <t>94</t>
  </si>
  <si>
    <t>733123114R00</t>
  </si>
  <si>
    <t>Příplatek za zhotovení přípojek / vsazení úseku D 31,8 x 2,6 mm</t>
  </si>
  <si>
    <t>95</t>
  </si>
  <si>
    <t>733123117R00</t>
  </si>
  <si>
    <t>Příplatek za zhotovení přípojek / vsazení úseku D 51 x 2,6 mm</t>
  </si>
  <si>
    <t>96</t>
  </si>
  <si>
    <t>733191918R00</t>
  </si>
  <si>
    <t>Zaslepení potrubí zkováním a zavařením DN 40-50</t>
  </si>
  <si>
    <t>97</t>
  </si>
  <si>
    <t>733123110R00</t>
  </si>
  <si>
    <t>Dod + mont. nátrubku  HVDT, vevaření DN15</t>
  </si>
  <si>
    <t>734</t>
  </si>
  <si>
    <t>Armatury</t>
  </si>
  <si>
    <t>98</t>
  </si>
  <si>
    <t>734209115R00</t>
  </si>
  <si>
    <t>Fitink blíže nespecifikovaný (dvojsuvky a pod.)</t>
  </si>
  <si>
    <t>734_</t>
  </si>
  <si>
    <t>99</t>
  </si>
  <si>
    <t>734200833R00</t>
  </si>
  <si>
    <t>Demontáž armatur se 3závity do G 2"</t>
  </si>
  <si>
    <t>100</t>
  </si>
  <si>
    <t>734200811R00</t>
  </si>
  <si>
    <t>Demontáž armatur s 1závitem do G 1/2</t>
  </si>
  <si>
    <t>101</t>
  </si>
  <si>
    <t>734200821R00</t>
  </si>
  <si>
    <t>Demontáž armatur se 2závity do G 1/2</t>
  </si>
  <si>
    <t>102</t>
  </si>
  <si>
    <t>734200822R00</t>
  </si>
  <si>
    <t>Demontáž armatur se 2závity do G 1</t>
  </si>
  <si>
    <t>103</t>
  </si>
  <si>
    <t>734200824R00</t>
  </si>
  <si>
    <t>Demontáž armatur se 2závity do G 2"</t>
  </si>
  <si>
    <t>104</t>
  </si>
  <si>
    <t>734200834R00</t>
  </si>
  <si>
    <t>Demontáž armatur se 2závity do G 2 1/2</t>
  </si>
  <si>
    <t>105</t>
  </si>
  <si>
    <t>734237145R00</t>
  </si>
  <si>
    <t>Uzavíraci a vyp.ventil exp.nádoby DN 40</t>
  </si>
  <si>
    <t>106</t>
  </si>
  <si>
    <t>734215133R00</t>
  </si>
  <si>
    <t>Ventil odvzdušňovací automat. (počet cca)</t>
  </si>
  <si>
    <t>107</t>
  </si>
  <si>
    <t>734295382R00</t>
  </si>
  <si>
    <t>Kohout kulový výtokový  DN 15 (počet cca)</t>
  </si>
  <si>
    <t>108</t>
  </si>
  <si>
    <t>734237117R00</t>
  </si>
  <si>
    <t>Kohout kulový,2xvnitřní závit DN 65</t>
  </si>
  <si>
    <t>109</t>
  </si>
  <si>
    <t>734237116R00</t>
  </si>
  <si>
    <t>Kohout kulový,2xvnitřní závit DN 50</t>
  </si>
  <si>
    <t>110</t>
  </si>
  <si>
    <t>734237115R00</t>
  </si>
  <si>
    <t>Kohout kulový,2xvnitřní závit DN 40</t>
  </si>
  <si>
    <t>111</t>
  </si>
  <si>
    <t>734237113R00</t>
  </si>
  <si>
    <t>Kohout kulový,2xvnitřní závit DN 25</t>
  </si>
  <si>
    <t>112</t>
  </si>
  <si>
    <t>734237111R00</t>
  </si>
  <si>
    <t>Kohout kulový,2xvnitřní závit DN 15</t>
  </si>
  <si>
    <t>113</t>
  </si>
  <si>
    <t>734237143R00</t>
  </si>
  <si>
    <t>Kohout kulový s odv.2xvnitř.z.DN 25</t>
  </si>
  <si>
    <t>114</t>
  </si>
  <si>
    <t>734237141R00</t>
  </si>
  <si>
    <t>Kohout kulový s odv.2xvnitř.z.DN 15</t>
  </si>
  <si>
    <t>115</t>
  </si>
  <si>
    <t>734244426R00</t>
  </si>
  <si>
    <t>Klapka zpětná pružinová,2xvnitřní závit, celokov DN 50</t>
  </si>
  <si>
    <t>116</t>
  </si>
  <si>
    <t>734244423R00</t>
  </si>
  <si>
    <t>Klapka zpětná bezpružinová,2xvnitřní závit, čistitelná DN 25</t>
  </si>
  <si>
    <t>117</t>
  </si>
  <si>
    <t>734294216R00</t>
  </si>
  <si>
    <t>Filtr,velikost oka 0,4mm,vnitřní závity DN 50 s magnetem</t>
  </si>
  <si>
    <t>118</t>
  </si>
  <si>
    <t>734294213R00</t>
  </si>
  <si>
    <t>Filtr,velikost oka 0,4mm,vnitřní závity DN 25</t>
  </si>
  <si>
    <t>119</t>
  </si>
  <si>
    <t>734294211R00</t>
  </si>
  <si>
    <t>Filtr,velikost oka 0,4mm,vnitřní závity DN 15</t>
  </si>
  <si>
    <t>120</t>
  </si>
  <si>
    <t>734265124R00</t>
  </si>
  <si>
    <t>Šroubení 1" / 6/4" k čerpadlu DN25</t>
  </si>
  <si>
    <t>121</t>
  </si>
  <si>
    <t>734265317R00</t>
  </si>
  <si>
    <t>Šroubení topenářské, přímé, G2"</t>
  </si>
  <si>
    <t>122</t>
  </si>
  <si>
    <t>734265316R00</t>
  </si>
  <si>
    <t>Šroubení topenářské, přímé, G6/4"</t>
  </si>
  <si>
    <t>123</t>
  </si>
  <si>
    <t>734261226R00</t>
  </si>
  <si>
    <t>Šroubení topenářské, přímé, G 5/4</t>
  </si>
  <si>
    <t>124</t>
  </si>
  <si>
    <t>734261225R00</t>
  </si>
  <si>
    <t>Šroubení topenářské, přímé, G 1</t>
  </si>
  <si>
    <t>125</t>
  </si>
  <si>
    <t>734261224R00</t>
  </si>
  <si>
    <t>Šroubení topenářské, přímé, G 3/4</t>
  </si>
  <si>
    <t>126</t>
  </si>
  <si>
    <t>734261223R00</t>
  </si>
  <si>
    <t>Šroubení topenářské, přímé, G 1/2</t>
  </si>
  <si>
    <t>127</t>
  </si>
  <si>
    <t>734421150R00</t>
  </si>
  <si>
    <t>Tlakoměr deformační 0-600 kPa / D 63 + red na připojení 1/2"</t>
  </si>
  <si>
    <t>128</t>
  </si>
  <si>
    <t>Tlakoměr deformační 0-600 kPa / D 100 + red na připojení 1/2"</t>
  </si>
  <si>
    <t>129</t>
  </si>
  <si>
    <t>Tlakoměr deformační 0-1 MPa / D 100 + red na připojení 1/2"</t>
  </si>
  <si>
    <t>130</t>
  </si>
  <si>
    <t>Tlakoměr deformační 0-400 kPa / 1,6 / D 160 + red na připojení 1/2"</t>
  </si>
  <si>
    <t>131</t>
  </si>
  <si>
    <t>734209103R00</t>
  </si>
  <si>
    <t>Jímka termočidla G1/2" (HVDT)</t>
  </si>
  <si>
    <t>132</t>
  </si>
  <si>
    <t>734295213R00</t>
  </si>
  <si>
    <t>Magnetická úpravna vody DN 25 s permanentními magnety</t>
  </si>
  <si>
    <t>133</t>
  </si>
  <si>
    <t>734209128R00</t>
  </si>
  <si>
    <t>Směš. ventil třícest. DN50 Kvs=40 +pohon 230V, 3-bod, cca 120sec/15 Nm</t>
  </si>
  <si>
    <t>134</t>
  </si>
  <si>
    <t>734209127R00</t>
  </si>
  <si>
    <t>Směš. ventil třícest. DN40 Kvs=25 +pohon 230V, 3-bod, cca 120sec/15 Nm</t>
  </si>
  <si>
    <t>135</t>
  </si>
  <si>
    <t>734209126R00</t>
  </si>
  <si>
    <t>Směš. ventil třícest. DN32 Kvs=16 +pohon 230V, 3-bod, cca 120sec</t>
  </si>
  <si>
    <t>136</t>
  </si>
  <si>
    <t>734255125R00</t>
  </si>
  <si>
    <t>Ventil pojistný, DN 20/25 x 6,0 bar - 110 kW / pára</t>
  </si>
  <si>
    <t>137</t>
  </si>
  <si>
    <t>Ventil pojistný, DN 20/25 x 6,0 bar - 220 kW / voda</t>
  </si>
  <si>
    <t>138</t>
  </si>
  <si>
    <t>734255114R00</t>
  </si>
  <si>
    <t>Ventil pojistný, DN 15/20 x 4,0 bar / voda</t>
  </si>
  <si>
    <t>139</t>
  </si>
  <si>
    <t>734431212R00</t>
  </si>
  <si>
    <t>Tlakový spínač, manostat 0,9 bar</t>
  </si>
  <si>
    <t>735</t>
  </si>
  <si>
    <t>Otopný systém</t>
  </si>
  <si>
    <t>140</t>
  </si>
  <si>
    <t>735191903R00</t>
  </si>
  <si>
    <t>Vypuštění otopného systému</t>
  </si>
  <si>
    <t>735_</t>
  </si>
  <si>
    <t>141</t>
  </si>
  <si>
    <t>735494811R00</t>
  </si>
  <si>
    <t>2x proplach otopných těles + rozvodů + napušť. systému, prvotní odvzdušnění,</t>
  </si>
  <si>
    <t>600*2</t>
  </si>
  <si>
    <t>2 x proplach + napuštění systému s odvzdušněním</t>
  </si>
  <si>
    <t>767</t>
  </si>
  <si>
    <t>Konstrukce doplňkové stavební (zámečnické)</t>
  </si>
  <si>
    <t>142</t>
  </si>
  <si>
    <t>767995102R00</t>
  </si>
  <si>
    <t>Výroba a montáž kov. atypických konstr. do 10 kg</t>
  </si>
  <si>
    <t>kg</t>
  </si>
  <si>
    <t>767_</t>
  </si>
  <si>
    <t>76_</t>
  </si>
  <si>
    <t>Přechodový můstek potrubí kondenzátu</t>
  </si>
  <si>
    <t>783</t>
  </si>
  <si>
    <t>Nátěry</t>
  </si>
  <si>
    <t>143</t>
  </si>
  <si>
    <t>783421310R00</t>
  </si>
  <si>
    <t>Značení</t>
  </si>
  <si>
    <t>783_</t>
  </si>
  <si>
    <t>78_</t>
  </si>
  <si>
    <t>144</t>
  </si>
  <si>
    <t>783424140R00</t>
  </si>
  <si>
    <t>Nátěr syntetický potrubí do DN 50 mm  Z + 1x email</t>
  </si>
  <si>
    <t>145</t>
  </si>
  <si>
    <t>783425150R00</t>
  </si>
  <si>
    <t>Nátěr syntetický potrubí do DN 100 mm  Z + 1x email</t>
  </si>
  <si>
    <t>146</t>
  </si>
  <si>
    <t>783424340R00</t>
  </si>
  <si>
    <t>Nátěr syntet. potrubí do DN 50 mm  Z+2x +1x email</t>
  </si>
  <si>
    <t>147</t>
  </si>
  <si>
    <t>783122111RT3</t>
  </si>
  <si>
    <t>Nátěr syntetický OK "A" dvojnásobný,</t>
  </si>
  <si>
    <t>784</t>
  </si>
  <si>
    <t>Malby</t>
  </si>
  <si>
    <t>148</t>
  </si>
  <si>
    <t>784011222RT2</t>
  </si>
  <si>
    <t>Zakrytí podlah, včetně odstranění</t>
  </si>
  <si>
    <t>784_</t>
  </si>
  <si>
    <t>149</t>
  </si>
  <si>
    <t>784432261R00</t>
  </si>
  <si>
    <t>Malba klihová 1x,1barva, pačok 2x, místn. do 3,8 m</t>
  </si>
  <si>
    <t>Odtahy spalin</t>
  </si>
  <si>
    <t>150</t>
  </si>
  <si>
    <t>953802115R00</t>
  </si>
  <si>
    <t>Demontáž odtahů spalin</t>
  </si>
  <si>
    <t>95_</t>
  </si>
  <si>
    <t>9_</t>
  </si>
  <si>
    <t>151</t>
  </si>
  <si>
    <t>953802325R00</t>
  </si>
  <si>
    <t>Montáž odtahů spalin DN200, plast pro kondenzační kotle</t>
  </si>
  <si>
    <t>152</t>
  </si>
  <si>
    <t>10023VD</t>
  </si>
  <si>
    <t>Nasávací koš DN 110/160</t>
  </si>
  <si>
    <t>153</t>
  </si>
  <si>
    <t>10005VD</t>
  </si>
  <si>
    <t>Kotlová redukce DN 125/110 s měřícím otvorem</t>
  </si>
  <si>
    <t>154</t>
  </si>
  <si>
    <t>10001VD</t>
  </si>
  <si>
    <t>Trubka DN200 - 500 mm</t>
  </si>
  <si>
    <t>155</t>
  </si>
  <si>
    <t>10002VD</t>
  </si>
  <si>
    <t>Trubka DN200 - 1000 mm</t>
  </si>
  <si>
    <t>156</t>
  </si>
  <si>
    <t>10003VD</t>
  </si>
  <si>
    <t>Trubka DN200 - 2000 mm</t>
  </si>
  <si>
    <t>157</t>
  </si>
  <si>
    <t>10004VD</t>
  </si>
  <si>
    <t>Odváděč kondenzátu DN200</t>
  </si>
  <si>
    <t>158</t>
  </si>
  <si>
    <t>10011VD</t>
  </si>
  <si>
    <t>Sifon min. 40 mm pro přetlak</t>
  </si>
  <si>
    <t>159</t>
  </si>
  <si>
    <t>10006VD</t>
  </si>
  <si>
    <t>Revizní koleno DN200</t>
  </si>
  <si>
    <t>160</t>
  </si>
  <si>
    <t>10012VD</t>
  </si>
  <si>
    <t>Koncový kus kaskády se ZK DN200/125</t>
  </si>
  <si>
    <t>161</t>
  </si>
  <si>
    <t>11008VD</t>
  </si>
  <si>
    <t>Trubkový díl kaskády s odb. a ZK DN200/125</t>
  </si>
  <si>
    <t>162</t>
  </si>
  <si>
    <t>10007VD</t>
  </si>
  <si>
    <t>Flexibilní trubka DN200</t>
  </si>
  <si>
    <t>163</t>
  </si>
  <si>
    <t>10008VD</t>
  </si>
  <si>
    <t>Patní koleno 87° s kotvením DN200 flex</t>
  </si>
  <si>
    <t>164</t>
  </si>
  <si>
    <t>10009VD</t>
  </si>
  <si>
    <t>Komínová nerezová hlavice flex komplet DN200</t>
  </si>
  <si>
    <t>165</t>
  </si>
  <si>
    <t>11003VD</t>
  </si>
  <si>
    <t>Univerzální distanční objímka - segment</t>
  </si>
  <si>
    <t>Prorážení otvorů a ostatní bourací práce</t>
  </si>
  <si>
    <t>166</t>
  </si>
  <si>
    <t>971033441R00</t>
  </si>
  <si>
    <t>Vybourání otv. zeď cihel. pl.0,25 m2, tl.30cm, MVC (odtahy spalin)</t>
  </si>
  <si>
    <t>97_</t>
  </si>
  <si>
    <t>167</t>
  </si>
  <si>
    <t>971033341R00</t>
  </si>
  <si>
    <t>Vybourání otv. zeď cihel. pl.0,09 m2, tl.30cm, MVC (větrací mřížka komín)</t>
  </si>
  <si>
    <t>168</t>
  </si>
  <si>
    <t>971033123R00</t>
  </si>
  <si>
    <t>Vrtání otvorů, zeď cihelná, do 3 cm, hl. do 45 cm</t>
  </si>
  <si>
    <t>H01</t>
  </si>
  <si>
    <t>Budovy občanské výstavby</t>
  </si>
  <si>
    <t>169</t>
  </si>
  <si>
    <t>998011001R00</t>
  </si>
  <si>
    <t>Přesun hmot pro budovy zděné výšky do 6 m</t>
  </si>
  <si>
    <t>t</t>
  </si>
  <si>
    <t>H01_</t>
  </si>
  <si>
    <t>170</t>
  </si>
  <si>
    <t>998011015R00</t>
  </si>
  <si>
    <t>Přesun hmot, budovy zděné, příplatek do 1 km</t>
  </si>
  <si>
    <t>H713</t>
  </si>
  <si>
    <t>Izolace tepelné</t>
  </si>
  <si>
    <t>171</t>
  </si>
  <si>
    <t>998713101R00</t>
  </si>
  <si>
    <t>Přesun hmot pro izolace tepelné, výšky do 6 m</t>
  </si>
  <si>
    <t>H713_</t>
  </si>
  <si>
    <t>172</t>
  </si>
  <si>
    <t>998713192R00</t>
  </si>
  <si>
    <t>Příplatek zvětšený přesun, izolace tepelné do 100 m</t>
  </si>
  <si>
    <t>H721</t>
  </si>
  <si>
    <t>173</t>
  </si>
  <si>
    <t>998721101R00</t>
  </si>
  <si>
    <t>Přesun hmot pro vnitřní kanalizaci, výšky do 6 m</t>
  </si>
  <si>
    <t>H721_</t>
  </si>
  <si>
    <t>174</t>
  </si>
  <si>
    <t>998721192R00</t>
  </si>
  <si>
    <t>Příplatek za zvětšený přesun, vnitřní kanalizace do 100 m</t>
  </si>
  <si>
    <t>H722</t>
  </si>
  <si>
    <t>175</t>
  </si>
  <si>
    <t>998722101R00</t>
  </si>
  <si>
    <t>Přesun hmot pro vnitřní vodovod, výšky do 6 m</t>
  </si>
  <si>
    <t>H722_</t>
  </si>
  <si>
    <t>176</t>
  </si>
  <si>
    <t>998722192R00</t>
  </si>
  <si>
    <t>Příplatek za zvětšený přesun, vnitřní vodovod do 100 m</t>
  </si>
  <si>
    <t>H723</t>
  </si>
  <si>
    <t>177</t>
  </si>
  <si>
    <t>998723101R00</t>
  </si>
  <si>
    <t>Přesun hmot pro vnitřní plynovod, výšky do 6 m</t>
  </si>
  <si>
    <t>H723_</t>
  </si>
  <si>
    <t>178</t>
  </si>
  <si>
    <t>998723192R00</t>
  </si>
  <si>
    <t>Příplatek za zvětšený přesun, vnitřní plynovod do 100 m</t>
  </si>
  <si>
    <t>H731</t>
  </si>
  <si>
    <t>179</t>
  </si>
  <si>
    <t>998731101R00</t>
  </si>
  <si>
    <t>Přesun hmot pro kotelny, výšky do 6 m</t>
  </si>
  <si>
    <t>H731_</t>
  </si>
  <si>
    <t>180</t>
  </si>
  <si>
    <t>998731193R00</t>
  </si>
  <si>
    <t>Příplatek zvětšený přesun, kotelny do 500 m</t>
  </si>
  <si>
    <t>H732</t>
  </si>
  <si>
    <t>181</t>
  </si>
  <si>
    <t>998732101R00</t>
  </si>
  <si>
    <t>Přesun hmot pro strojovny, výšky do 6 m</t>
  </si>
  <si>
    <t>H732_</t>
  </si>
  <si>
    <t>182</t>
  </si>
  <si>
    <t>998732193R00</t>
  </si>
  <si>
    <t>Příplatek zvětšený přesun, strojovny do 500 m</t>
  </si>
  <si>
    <t>H733</t>
  </si>
  <si>
    <t>183</t>
  </si>
  <si>
    <t>998733101R00</t>
  </si>
  <si>
    <t>Přesun hmot pro rozvody potrubí, výšky do 6 m</t>
  </si>
  <si>
    <t>H733_</t>
  </si>
  <si>
    <t>184</t>
  </si>
  <si>
    <t>998733193R00</t>
  </si>
  <si>
    <t>Příplatek zvětš. přesun, rozvody potrubí do 500 m</t>
  </si>
  <si>
    <t>H734</t>
  </si>
  <si>
    <t>185</t>
  </si>
  <si>
    <t>998734101R00</t>
  </si>
  <si>
    <t>Přesun hmot pro armatury, výšky do 6 m</t>
  </si>
  <si>
    <t>H734_</t>
  </si>
  <si>
    <t>186</t>
  </si>
  <si>
    <t>998734193R00</t>
  </si>
  <si>
    <t>Příplatek zvětšený přesun, armatury do 500 m</t>
  </si>
  <si>
    <t>H764</t>
  </si>
  <si>
    <t>Elektro + MaR</t>
  </si>
  <si>
    <t>187</t>
  </si>
  <si>
    <t>998764101R00</t>
  </si>
  <si>
    <t>Přesun hmot elektro + MaR, výšky do 6 m</t>
  </si>
  <si>
    <t>H764_</t>
  </si>
  <si>
    <t>188</t>
  </si>
  <si>
    <t>998764192R00</t>
  </si>
  <si>
    <t>Přesun hmot elektro + MaR. konstr. do 100 m</t>
  </si>
  <si>
    <t>H77VD</t>
  </si>
  <si>
    <t>Šrotové hospodářství</t>
  </si>
  <si>
    <t>189</t>
  </si>
  <si>
    <t>77003VD</t>
  </si>
  <si>
    <t>Nakladání šrotu na dopr. prostř., manipulace</t>
  </si>
  <si>
    <t>h</t>
  </si>
  <si>
    <t>H77VD_</t>
  </si>
  <si>
    <t>190</t>
  </si>
  <si>
    <t>77002VD</t>
  </si>
  <si>
    <t>Odvoz šrotu do sběru</t>
  </si>
  <si>
    <t>km</t>
  </si>
  <si>
    <t>191</t>
  </si>
  <si>
    <t>77001VD</t>
  </si>
  <si>
    <t>Výtěžek z prodeje šrotu (záporná položka rozpočtu)</t>
  </si>
  <si>
    <t>M06VD</t>
  </si>
  <si>
    <t>Uvádění zařízení do provozu, seřízení</t>
  </si>
  <si>
    <t>192</t>
  </si>
  <si>
    <t>0604VD</t>
  </si>
  <si>
    <t>Uvední kotle nad 50 kW do provozu, seřízení, vystavení protokolu</t>
  </si>
  <si>
    <t>M06VD_</t>
  </si>
  <si>
    <t>193</t>
  </si>
  <si>
    <t>72310VD</t>
  </si>
  <si>
    <t>Seřízení regulace, zkoušky  systému vč.simulace poruch.stavů, protokol</t>
  </si>
  <si>
    <t>194</t>
  </si>
  <si>
    <t>340912279R00</t>
  </si>
  <si>
    <t>Zaučení obsluhy</t>
  </si>
  <si>
    <t>195</t>
  </si>
  <si>
    <t>06005VD</t>
  </si>
  <si>
    <t>Návrh provozního řádu, revizní kniha</t>
  </si>
  <si>
    <t>M21</t>
  </si>
  <si>
    <t>Elektromontáže</t>
  </si>
  <si>
    <t>196</t>
  </si>
  <si>
    <t>650710111R00</t>
  </si>
  <si>
    <t>Demontáž nevyužitelných kabelových tras</t>
  </si>
  <si>
    <t>M21_</t>
  </si>
  <si>
    <t>197</t>
  </si>
  <si>
    <t>650711611R00</t>
  </si>
  <si>
    <t>Demontáž rozvaděče</t>
  </si>
  <si>
    <t>198</t>
  </si>
  <si>
    <t>650711621R00</t>
  </si>
  <si>
    <t>Demontáž koncového el zař. (čidla aj.)</t>
  </si>
  <si>
    <t>199</t>
  </si>
  <si>
    <t>21008VD</t>
  </si>
  <si>
    <t>Jistič 3f B16/3 na DIN lištu vč osazení do rozvaděče v předsíni</t>
  </si>
  <si>
    <t>200</t>
  </si>
  <si>
    <t>222111003R00</t>
  </si>
  <si>
    <t>Rozvaděč na omítku 3X12P/SMD</t>
  </si>
  <si>
    <t>201</t>
  </si>
  <si>
    <t>222111002R00</t>
  </si>
  <si>
    <t>Hlavní vypínač</t>
  </si>
  <si>
    <t>202</t>
  </si>
  <si>
    <t>Jistič B16A na DIN lištu</t>
  </si>
  <si>
    <t>203</t>
  </si>
  <si>
    <t>Jistič B10A na DIN lištu</t>
  </si>
  <si>
    <t>204</t>
  </si>
  <si>
    <t>Jistič B6A na DIN lištu</t>
  </si>
  <si>
    <t>205</t>
  </si>
  <si>
    <t>Jistič B2A na DIN lištu</t>
  </si>
  <si>
    <t>206</t>
  </si>
  <si>
    <t>21009VD</t>
  </si>
  <si>
    <t>Proudový chránič s jističem B6A / 30 mA na DIN lištu</t>
  </si>
  <si>
    <t>207</t>
  </si>
  <si>
    <t>210111021RT1</t>
  </si>
  <si>
    <t>Zásuvka do rozvaděče</t>
  </si>
  <si>
    <t>208</t>
  </si>
  <si>
    <t>21002VD</t>
  </si>
  <si>
    <t>Vystrojení rozvaděče základními prvky (mimo osazení a zapojení jističů, vypínače aj.)</t>
  </si>
  <si>
    <t>209</t>
  </si>
  <si>
    <t>21103VD</t>
  </si>
  <si>
    <t>Relé 230 V 10-25 A na DIN lištu</t>
  </si>
  <si>
    <t>210</t>
  </si>
  <si>
    <t>0017VD</t>
  </si>
  <si>
    <t>Elektroměr 0,025-45 A 230 V, ověřený, na DIN lištu</t>
  </si>
  <si>
    <t>211</t>
  </si>
  <si>
    <t>21101VD</t>
  </si>
  <si>
    <t>Modul automatického jištění kotelny SIEMENS Kotelník v2.0 - sada</t>
  </si>
  <si>
    <t>212</t>
  </si>
  <si>
    <t>21102VD</t>
  </si>
  <si>
    <t>GSM modul + ext. anténa</t>
  </si>
  <si>
    <t>213</t>
  </si>
  <si>
    <t>220263113RT3</t>
  </si>
  <si>
    <t>Kabel.žlab s integr.spojkou 35x100 mm bez víka, vč. příslušenství</t>
  </si>
  <si>
    <t>214</t>
  </si>
  <si>
    <t>210810046RT3</t>
  </si>
  <si>
    <t>Kabel CYKY-J 750 V 3 x 2,5 mm2 pevně uložený (mat. vč. uložení)</t>
  </si>
  <si>
    <t>215</t>
  </si>
  <si>
    <t>210810045RT1</t>
  </si>
  <si>
    <t>Kabel CYKY-J 3 x 1,5 mm2 pevně uložený (mat. vč. uložení)</t>
  </si>
  <si>
    <t>216</t>
  </si>
  <si>
    <t>210810050RT1</t>
  </si>
  <si>
    <t>Kabel CYKY-m 4 x 1,5 mm2 pevně uložený (mat.vč. uložení)</t>
  </si>
  <si>
    <t>217</t>
  </si>
  <si>
    <t>210810041RT1</t>
  </si>
  <si>
    <t>Kabel  JYTY 2 x 1 mm2 pevně uložený (mat.vč uložení)</t>
  </si>
  <si>
    <t>218</t>
  </si>
  <si>
    <t>210810055RT1</t>
  </si>
  <si>
    <t>Kabel  CAT6 UTP pevně uložený (mat.vč uložení a koncovek)</t>
  </si>
  <si>
    <t>219</t>
  </si>
  <si>
    <t>210800547RT1</t>
  </si>
  <si>
    <t>Vodič H07V-U (CY) 6 mm2 žlutozelený, uložený pevně</t>
  </si>
  <si>
    <t>220</t>
  </si>
  <si>
    <t>210220321R00</t>
  </si>
  <si>
    <t>Svorka zemnící na potrubí včetně Cu pásku</t>
  </si>
  <si>
    <t>221</t>
  </si>
  <si>
    <t>21 - 00VD</t>
  </si>
  <si>
    <t>Montáž modulů regulace z dod. výr. kotle</t>
  </si>
  <si>
    <t>222</t>
  </si>
  <si>
    <t>650061133R00</t>
  </si>
  <si>
    <t>Varistor UC=275 / 400 A (na svorkovnici plynového ventilu)</t>
  </si>
  <si>
    <t>223</t>
  </si>
  <si>
    <t>210010002RT1</t>
  </si>
  <si>
    <t>Dopojení koncového zařízení (kotel, čerp., čidlo MaR, modul mimo rozváděč, světlo aj.)</t>
  </si>
  <si>
    <t>224</t>
  </si>
  <si>
    <t>21003VD</t>
  </si>
  <si>
    <t>Detektor plynu pro metan</t>
  </si>
  <si>
    <t>225</t>
  </si>
  <si>
    <t>21005VD</t>
  </si>
  <si>
    <t>Detektor plynu pro oxid uhelnatý</t>
  </si>
  <si>
    <t>226</t>
  </si>
  <si>
    <t>21004VD</t>
  </si>
  <si>
    <t>Termostat 30-90°C kapilární krytovaný</t>
  </si>
  <si>
    <t>227</t>
  </si>
  <si>
    <t>210010002R00</t>
  </si>
  <si>
    <t>Manostat minimálního (0,9 bar) tlaku v systému + převod na G1/2"</t>
  </si>
  <si>
    <t>228</t>
  </si>
  <si>
    <t>650051147R00</t>
  </si>
  <si>
    <t>Tlačítko v krabici nástěnné</t>
  </si>
  <si>
    <t>229</t>
  </si>
  <si>
    <t>210191013R00</t>
  </si>
  <si>
    <t>Světlo nouzového osvětlení, samonabíjecí, záloha 60 minut</t>
  </si>
  <si>
    <t>230</t>
  </si>
  <si>
    <t>210950101RT1</t>
  </si>
  <si>
    <t>Štítek označovací na kabel</t>
  </si>
  <si>
    <t>231</t>
  </si>
  <si>
    <t>Drobný materiál (instalační krabice, úchyta aj.)</t>
  </si>
  <si>
    <t>232</t>
  </si>
  <si>
    <t>650042111R00</t>
  </si>
  <si>
    <t>Dod+mont.rozšiřuj.modul kotle Siemens AVS75.391/109 vč.propoj.kabelů</t>
  </si>
  <si>
    <t>včetně připojovacích svorek a propojovacích vodičů (AVS 82.490/109), osazen v kotli</t>
  </si>
  <si>
    <t>233</t>
  </si>
  <si>
    <t>650041637R00</t>
  </si>
  <si>
    <t>Komunikační modul pro kaskádu kotlů OCI345 vč. propojovacích svorek a kabeláže</t>
  </si>
  <si>
    <t>1+1+1</t>
  </si>
  <si>
    <t>osazen v kotli, propojení mezi kotli v kaskádě</t>
  </si>
  <si>
    <t>234</t>
  </si>
  <si>
    <t>21001VD</t>
  </si>
  <si>
    <t>Web server OZW672.01 pro max. 4 zdroje</t>
  </si>
  <si>
    <t>235</t>
  </si>
  <si>
    <t>650041227R00</t>
  </si>
  <si>
    <t>Čidlo venkovní teploty</t>
  </si>
  <si>
    <t>236</t>
  </si>
  <si>
    <t>06004VD</t>
  </si>
  <si>
    <t>Teplotní čidlo příložné na potrubí NTC 10 kOhm</t>
  </si>
  <si>
    <t>237</t>
  </si>
  <si>
    <t>Teplotní čidlo ponorné NTC 10 kOhm</t>
  </si>
  <si>
    <t>M72VD</t>
  </si>
  <si>
    <t>Revize a zkoušky</t>
  </si>
  <si>
    <t>238</t>
  </si>
  <si>
    <t>72306VD</t>
  </si>
  <si>
    <t>Certifikát posouzení sestavy tlakového zařízení notifik. osobou</t>
  </si>
  <si>
    <t>M72VD_</t>
  </si>
  <si>
    <t>239</t>
  </si>
  <si>
    <t>723 02VD</t>
  </si>
  <si>
    <t>Revize TNS (tlakové nádoby stabilní - expanzní nádoby)</t>
  </si>
  <si>
    <t>240</t>
  </si>
  <si>
    <t>723 01VD</t>
  </si>
  <si>
    <t>Výchozí revize plynového zařízení + provozní revize po uved. do provozu</t>
  </si>
  <si>
    <t>241</t>
  </si>
  <si>
    <t>72304VD</t>
  </si>
  <si>
    <t>Revize spalinových cest</t>
  </si>
  <si>
    <t>242</t>
  </si>
  <si>
    <t>727311VD</t>
  </si>
  <si>
    <t>Revize elektro zařízení</t>
  </si>
  <si>
    <t>243</t>
  </si>
  <si>
    <t>0603VD</t>
  </si>
  <si>
    <t>Odborná prohlídka nízkotlaké kotelny dle vyhl. 91/93 Sb</t>
  </si>
  <si>
    <t>244</t>
  </si>
  <si>
    <t>727312VD</t>
  </si>
  <si>
    <t>Kalibrace detektorů CH4,  CO a vystavení protokolu</t>
  </si>
  <si>
    <t>245</t>
  </si>
  <si>
    <t>72303VD</t>
  </si>
  <si>
    <t>Topná zkouška 72 hod</t>
  </si>
  <si>
    <t>S</t>
  </si>
  <si>
    <t>Odpadové hospodářství</t>
  </si>
  <si>
    <t>246</t>
  </si>
  <si>
    <t>979082212R00</t>
  </si>
  <si>
    <t>Vodorovná doprava suti po suchu do 50 m</t>
  </si>
  <si>
    <t>S_</t>
  </si>
  <si>
    <t>247</t>
  </si>
  <si>
    <t>979981101R00</t>
  </si>
  <si>
    <t>Kontejner 3tuny, suť aj. bez nebezp.odpadu, odvoz a likvidace</t>
  </si>
  <si>
    <t>Celkem:</t>
  </si>
  <si>
    <t>Poznámka:</t>
  </si>
  <si>
    <t>Soupis stavebních prací dodávek a služeb s výkazem výměr</t>
  </si>
  <si>
    <t>Potřebné množství</t>
  </si>
  <si>
    <t>Krycí list slepého rozpočtu</t>
  </si>
  <si>
    <t>IČO/DIČ:</t>
  </si>
  <si>
    <t>00297569/CZ00297569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</si>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</sst>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3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3" fillId="0" borderId="21" xfId="0" applyNumberFormat="1" applyFont="1" applyFill="1" applyBorder="1" applyAlignment="1" applyProtection="1">
      <alignment horizontal="left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3" fillId="2" borderId="30" xfId="0" applyNumberFormat="1" applyFont="1" applyFill="1" applyBorder="1" applyAlignment="1" applyProtection="1">
      <alignment horizontal="left" vertical="center"/>
    </xf>
    <xf numFmtId="4" fontId="2" fillId="2" borderId="30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0" fontId="2" fillId="2" borderId="3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0" borderId="32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/>
    </xf>
    <xf numFmtId="4" fontId="3" fillId="0" borderId="33" xfId="0" applyNumberFormat="1" applyFont="1" applyFill="1" applyBorder="1" applyAlignment="1" applyProtection="1">
      <alignment horizontal="right" vertical="center"/>
    </xf>
    <xf numFmtId="4" fontId="3" fillId="0" borderId="34" xfId="0" applyNumberFormat="1" applyFont="1" applyFill="1" applyBorder="1" applyAlignment="1" applyProtection="1">
      <alignment horizontal="right" vertical="center"/>
    </xf>
    <xf numFmtId="4" fontId="2" fillId="0" borderId="35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2" fillId="0" borderId="36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righ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8" fillId="2" borderId="43" xfId="0" applyNumberFormat="1" applyFont="1" applyFill="1" applyBorder="1" applyAlignment="1" applyProtection="1">
      <alignment horizontal="center" vertical="center"/>
    </xf>
    <xf numFmtId="0" fontId="8" fillId="2" borderId="46" xfId="0" applyNumberFormat="1" applyFont="1" applyFill="1" applyBorder="1" applyAlignment="1" applyProtection="1">
      <alignment horizontal="center" vertical="center"/>
    </xf>
    <xf numFmtId="0" fontId="10" fillId="0" borderId="47" xfId="0" applyNumberFormat="1" applyFont="1" applyFill="1" applyBorder="1" applyAlignment="1" applyProtection="1">
      <alignment horizontal="left" vertical="center"/>
    </xf>
    <xf numFmtId="0" fontId="11" fillId="0" borderId="48" xfId="0" applyNumberFormat="1" applyFont="1" applyFill="1" applyBorder="1" applyAlignment="1" applyProtection="1">
      <alignment horizontal="left" vertical="center"/>
    </xf>
    <xf numFmtId="4" fontId="11" fillId="0" borderId="48" xfId="0" applyNumberFormat="1" applyFont="1" applyFill="1" applyBorder="1" applyAlignment="1" applyProtection="1">
      <alignment horizontal="right" vertical="center"/>
    </xf>
    <xf numFmtId="0" fontId="11" fillId="0" borderId="48" xfId="0" applyNumberFormat="1" applyFont="1" applyFill="1" applyBorder="1" applyAlignment="1" applyProtection="1">
      <alignment horizontal="right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4" fontId="11" fillId="0" borderId="55" xfId="0" applyNumberFormat="1" applyFont="1" applyFill="1" applyBorder="1" applyAlignment="1" applyProtection="1">
      <alignment horizontal="right" vertical="center"/>
    </xf>
    <xf numFmtId="0" fontId="11" fillId="0" borderId="55" xfId="0" applyNumberFormat="1" applyFont="1" applyFill="1" applyBorder="1" applyAlignment="1" applyProtection="1">
      <alignment horizontal="right" vertical="center"/>
    </xf>
    <xf numFmtId="4" fontId="11" fillId="0" borderId="46" xfId="0" applyNumberFormat="1" applyFont="1" applyFill="1" applyBorder="1" applyAlignment="1" applyProtection="1">
      <alignment horizontal="right" vertical="center"/>
    </xf>
    <xf numFmtId="4" fontId="11" fillId="0" borderId="26" xfId="0" applyNumberFormat="1" applyFont="1" applyFill="1" applyBorder="1" applyAlignment="1" applyProtection="1">
      <alignment horizontal="right" vertical="center"/>
    </xf>
    <xf numFmtId="4" fontId="10" fillId="2" borderId="45" xfId="0" applyNumberFormat="1" applyFont="1" applyFill="1" applyBorder="1" applyAlignment="1" applyProtection="1">
      <alignment horizontal="right" vertical="center"/>
    </xf>
    <xf numFmtId="4" fontId="10" fillId="2" borderId="50" xfId="0" applyNumberFormat="1" applyFont="1" applyFill="1" applyBorder="1" applyAlignment="1" applyProtection="1">
      <alignment horizontal="right" vertical="center"/>
    </xf>
    <xf numFmtId="0" fontId="5" fillId="0" borderId="3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right" vertical="center"/>
    </xf>
    <xf numFmtId="4" fontId="3" fillId="0" borderId="48" xfId="0" applyNumberFormat="1" applyFont="1" applyFill="1" applyBorder="1" applyAlignment="1" applyProtection="1">
      <alignment horizontal="right" vertical="center"/>
    </xf>
    <xf numFmtId="0" fontId="3" fillId="0" borderId="48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2" borderId="30" xfId="0" applyNumberFormat="1" applyFont="1" applyFill="1" applyBorder="1" applyAlignment="1" applyProtection="1">
      <alignment horizontal="left" vertical="center" wrapText="1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2" fillId="0" borderId="38" xfId="0" applyNumberFormat="1" applyFont="1" applyFill="1" applyBorder="1" applyAlignment="1" applyProtection="1">
      <alignment horizontal="left" vertical="center"/>
    </xf>
    <xf numFmtId="0" fontId="2" fillId="0" borderId="39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4" xfId="0" applyNumberFormat="1" applyFont="1" applyFill="1" applyBorder="1" applyAlignment="1" applyProtection="1">
      <alignment horizontal="left" vertical="center"/>
    </xf>
    <xf numFmtId="0" fontId="7" fillId="0" borderId="42" xfId="0" applyNumberFormat="1" applyFont="1" applyFill="1" applyBorder="1" applyAlignment="1" applyProtection="1">
      <alignment horizontal="center"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10" fillId="0" borderId="52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 applyProtection="1">
      <alignment horizontal="left" vertical="center"/>
    </xf>
    <xf numFmtId="0" fontId="10" fillId="0" borderId="53" xfId="0" applyNumberFormat="1" applyFont="1" applyFill="1" applyBorder="1" applyAlignment="1" applyProtection="1">
      <alignment horizontal="left" vertical="center"/>
    </xf>
    <xf numFmtId="0" fontId="10" fillId="0" borderId="54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45" xfId="0" applyNumberFormat="1" applyFont="1" applyFill="1" applyBorder="1" applyAlignment="1" applyProtection="1">
      <alignment horizontal="left" vertical="center"/>
    </xf>
    <xf numFmtId="0" fontId="11" fillId="0" borderId="49" xfId="0" applyNumberFormat="1" applyFont="1" applyFill="1" applyBorder="1" applyAlignment="1" applyProtection="1">
      <alignment horizontal="left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6" xfId="0" applyNumberFormat="1" applyFont="1" applyFill="1" applyBorder="1" applyAlignment="1" applyProtection="1">
      <alignment horizontal="left" vertical="center"/>
    </xf>
    <xf numFmtId="0" fontId="11" fillId="0" borderId="54" xfId="0" applyNumberFormat="1" applyFont="1" applyFill="1" applyBorder="1" applyAlignment="1" applyProtection="1">
      <alignment horizontal="left" vertical="center"/>
    </xf>
    <xf numFmtId="0" fontId="10" fillId="0" borderId="44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0" fontId="10" fillId="2" borderId="57" xfId="0" applyNumberFormat="1" applyFont="1" applyFill="1" applyBorder="1" applyAlignment="1" applyProtection="1">
      <alignment horizontal="left" vertical="center"/>
    </xf>
    <xf numFmtId="0" fontId="10" fillId="2" borderId="58" xfId="0" applyNumberFormat="1" applyFont="1" applyFill="1" applyBorder="1" applyAlignment="1" applyProtection="1">
      <alignment horizontal="left" vertical="center"/>
    </xf>
    <xf numFmtId="0" fontId="10" fillId="2" borderId="52" xfId="0" applyNumberFormat="1" applyFont="1" applyFill="1" applyBorder="1" applyAlignment="1" applyProtection="1">
      <alignment horizontal="left" vertical="center"/>
    </xf>
    <xf numFmtId="0" fontId="10" fillId="2" borderId="59" xfId="0" applyNumberFormat="1" applyFont="1" applyFill="1" applyBorder="1" applyAlignment="1" applyProtection="1">
      <alignment horizontal="left" vertical="center"/>
    </xf>
    <xf numFmtId="0" fontId="10" fillId="2" borderId="44" xfId="0" applyNumberFormat="1" applyFont="1" applyFill="1" applyBorder="1" applyAlignment="1" applyProtection="1">
      <alignment horizontal="left" vertical="center"/>
    </xf>
    <xf numFmtId="0" fontId="10" fillId="2" borderId="49" xfId="0" applyNumberFormat="1" applyFont="1" applyFill="1" applyBorder="1" applyAlignment="1" applyProtection="1">
      <alignment horizontal="left" vertical="center"/>
    </xf>
    <xf numFmtId="0" fontId="11" fillId="0" borderId="63" xfId="0" applyNumberFormat="1" applyFont="1" applyFill="1" applyBorder="1" applyAlignment="1" applyProtection="1">
      <alignment horizontal="left" vertical="center"/>
    </xf>
    <xf numFmtId="0" fontId="11" fillId="0" borderId="61" xfId="0" applyNumberFormat="1" applyFont="1" applyFill="1" applyBorder="1" applyAlignment="1" applyProtection="1">
      <alignment horizontal="left" vertical="center"/>
    </xf>
    <xf numFmtId="0" fontId="11" fillId="0" borderId="62" xfId="0" applyNumberFormat="1" applyFont="1" applyFill="1" applyBorder="1" applyAlignment="1" applyProtection="1">
      <alignment horizontal="left" vertical="center"/>
    </xf>
    <xf numFmtId="0" fontId="11" fillId="0" borderId="66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65" xfId="0" applyNumberFormat="1" applyFont="1" applyFill="1" applyBorder="1" applyAlignment="1" applyProtection="1">
      <alignment horizontal="left" vertical="center"/>
    </xf>
    <xf numFmtId="0" fontId="11" fillId="0" borderId="70" xfId="0" applyNumberFormat="1" applyFont="1" applyFill="1" applyBorder="1" applyAlignment="1" applyProtection="1">
      <alignment horizontal="left" vertical="center"/>
    </xf>
    <xf numFmtId="0" fontId="11" fillId="0" borderId="68" xfId="0" applyNumberFormat="1" applyFont="1" applyFill="1" applyBorder="1" applyAlignment="1" applyProtection="1">
      <alignment horizontal="left" vertical="center"/>
    </xf>
    <xf numFmtId="0" fontId="11" fillId="0" borderId="69" xfId="0" applyNumberFormat="1" applyFont="1" applyFill="1" applyBorder="1" applyAlignment="1" applyProtection="1">
      <alignment horizontal="left" vertical="center"/>
    </xf>
    <xf numFmtId="0" fontId="11" fillId="0" borderId="60" xfId="0" applyNumberFormat="1" applyFont="1" applyFill="1" applyBorder="1" applyAlignment="1" applyProtection="1">
      <alignment horizontal="left" vertical="center"/>
    </xf>
    <xf numFmtId="0" fontId="11" fillId="0" borderId="64" xfId="0" applyNumberFormat="1" applyFont="1" applyFill="1" applyBorder="1" applyAlignment="1" applyProtection="1">
      <alignment horizontal="left" vertical="center"/>
    </xf>
    <xf numFmtId="0" fontId="11" fillId="0" borderId="67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10" fillId="0" borderId="76" xfId="0" applyNumberFormat="1" applyFont="1" applyFill="1" applyBorder="1" applyAlignment="1" applyProtection="1">
      <alignment horizontal="left" vertical="center"/>
    </xf>
    <xf numFmtId="0" fontId="10" fillId="0" borderId="77" xfId="0" applyNumberFormat="1" applyFont="1" applyFill="1" applyBorder="1" applyAlignment="1" applyProtection="1">
      <alignment horizontal="left" vertical="center"/>
    </xf>
    <xf numFmtId="0" fontId="10" fillId="0" borderId="78" xfId="0" applyNumberFormat="1" applyFont="1" applyFill="1" applyBorder="1" applyAlignment="1" applyProtection="1">
      <alignment horizontal="left" vertical="center"/>
    </xf>
    <xf numFmtId="4" fontId="10" fillId="0" borderId="80" xfId="0" applyNumberFormat="1" applyFont="1" applyFill="1" applyBorder="1" applyAlignment="1" applyProtection="1">
      <alignment horizontal="right" vertical="center"/>
    </xf>
    <xf numFmtId="0" fontId="10" fillId="0" borderId="77" xfId="0" applyNumberFormat="1" applyFont="1" applyFill="1" applyBorder="1" applyAlignment="1" applyProtection="1">
      <alignment horizontal="right" vertical="center"/>
    </xf>
    <xf numFmtId="0" fontId="10" fillId="0" borderId="78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04"/>
  <sheetViews>
    <sheetView workbookViewId="0">
      <pane ySplit="11" topLeftCell="A12" activePane="bottomLeft" state="frozen"/>
      <selection pane="bottomLeft" activeCell="G13" sqref="G13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8" customWidth="1"/>
    <col min="6" max="6" width="12.85546875" customWidth="1"/>
    <col min="7" max="7" width="12" customWidth="1"/>
    <col min="8" max="10" width="15.7109375" customWidth="1"/>
    <col min="11" max="12" width="11.7109375" customWidth="1"/>
    <col min="25" max="75" width="12.140625" hidden="1"/>
  </cols>
  <sheetData>
    <row r="1" spans="1:75" ht="54.75" customHeight="1" x14ac:dyDescent="0.2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5" x14ac:dyDescent="0.25">
      <c r="A2" s="72" t="s">
        <v>1</v>
      </c>
      <c r="B2" s="73"/>
      <c r="C2" s="81" t="s">
        <v>2</v>
      </c>
      <c r="D2" s="82"/>
      <c r="E2" s="73" t="s">
        <v>3</v>
      </c>
      <c r="F2" s="73"/>
      <c r="G2" s="73" t="s">
        <v>4</v>
      </c>
      <c r="H2" s="79" t="s">
        <v>5</v>
      </c>
      <c r="I2" s="79" t="s">
        <v>6</v>
      </c>
      <c r="J2" s="73"/>
      <c r="K2" s="73"/>
      <c r="L2" s="93"/>
    </row>
    <row r="3" spans="1:75" x14ac:dyDescent="0.25">
      <c r="A3" s="74"/>
      <c r="B3" s="75"/>
      <c r="C3" s="83"/>
      <c r="D3" s="83"/>
      <c r="E3" s="75"/>
      <c r="F3" s="75"/>
      <c r="G3" s="75"/>
      <c r="H3" s="75"/>
      <c r="I3" s="75"/>
      <c r="J3" s="75"/>
      <c r="K3" s="75"/>
      <c r="L3" s="94"/>
    </row>
    <row r="4" spans="1:75" x14ac:dyDescent="0.25">
      <c r="A4" s="76" t="s">
        <v>7</v>
      </c>
      <c r="B4" s="75"/>
      <c r="C4" s="80" t="s">
        <v>8</v>
      </c>
      <c r="D4" s="75"/>
      <c r="E4" s="75" t="s">
        <v>9</v>
      </c>
      <c r="F4" s="75"/>
      <c r="G4" s="75" t="s">
        <v>10</v>
      </c>
      <c r="H4" s="80" t="s">
        <v>11</v>
      </c>
      <c r="I4" s="80" t="s">
        <v>12</v>
      </c>
      <c r="J4" s="75"/>
      <c r="K4" s="75"/>
      <c r="L4" s="94"/>
    </row>
    <row r="5" spans="1:75" x14ac:dyDescent="0.25">
      <c r="A5" s="74"/>
      <c r="B5" s="75"/>
      <c r="C5" s="75"/>
      <c r="D5" s="75"/>
      <c r="E5" s="75"/>
      <c r="F5" s="75"/>
      <c r="G5" s="75"/>
      <c r="H5" s="75"/>
      <c r="I5" s="75"/>
      <c r="J5" s="75"/>
      <c r="K5" s="75"/>
      <c r="L5" s="94"/>
    </row>
    <row r="6" spans="1:75" x14ac:dyDescent="0.25">
      <c r="A6" s="76" t="s">
        <v>13</v>
      </c>
      <c r="B6" s="75"/>
      <c r="C6" s="80" t="s">
        <v>14</v>
      </c>
      <c r="D6" s="75"/>
      <c r="E6" s="75" t="s">
        <v>15</v>
      </c>
      <c r="F6" s="75"/>
      <c r="G6" s="75"/>
      <c r="H6" s="80" t="s">
        <v>16</v>
      </c>
      <c r="I6" s="75" t="s">
        <v>17</v>
      </c>
      <c r="J6" s="75"/>
      <c r="K6" s="75"/>
      <c r="L6" s="94"/>
    </row>
    <row r="7" spans="1:75" x14ac:dyDescent="0.25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94"/>
    </row>
    <row r="8" spans="1:75" x14ac:dyDescent="0.25">
      <c r="A8" s="76" t="s">
        <v>18</v>
      </c>
      <c r="B8" s="75"/>
      <c r="C8" s="80" t="s">
        <v>10</v>
      </c>
      <c r="D8" s="75"/>
      <c r="E8" s="75" t="s">
        <v>19</v>
      </c>
      <c r="F8" s="75"/>
      <c r="G8" s="75" t="s">
        <v>20</v>
      </c>
      <c r="H8" s="80" t="s">
        <v>21</v>
      </c>
      <c r="I8" s="80" t="s">
        <v>22</v>
      </c>
      <c r="J8" s="75"/>
      <c r="K8" s="75"/>
      <c r="L8" s="94"/>
    </row>
    <row r="9" spans="1:75" x14ac:dyDescent="0.25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  <c r="L9" s="95"/>
    </row>
    <row r="10" spans="1:75" x14ac:dyDescent="0.25">
      <c r="A10" s="4" t="s">
        <v>23</v>
      </c>
      <c r="B10" s="5" t="s">
        <v>24</v>
      </c>
      <c r="C10" s="96" t="s">
        <v>25</v>
      </c>
      <c r="D10" s="97"/>
      <c r="E10" s="5" t="s">
        <v>26</v>
      </c>
      <c r="F10" s="6" t="s">
        <v>27</v>
      </c>
      <c r="G10" s="7" t="s">
        <v>28</v>
      </c>
      <c r="H10" s="86" t="s">
        <v>29</v>
      </c>
      <c r="I10" s="87"/>
      <c r="J10" s="88"/>
      <c r="K10" s="89" t="s">
        <v>30</v>
      </c>
      <c r="L10" s="90"/>
      <c r="BK10" s="8" t="s">
        <v>31</v>
      </c>
      <c r="BL10" s="9" t="s">
        <v>32</v>
      </c>
      <c r="BW10" s="9" t="s">
        <v>33</v>
      </c>
    </row>
    <row r="11" spans="1:75" x14ac:dyDescent="0.25">
      <c r="A11" s="10" t="s">
        <v>10</v>
      </c>
      <c r="B11" s="11" t="s">
        <v>10</v>
      </c>
      <c r="C11" s="84" t="s">
        <v>34</v>
      </c>
      <c r="D11" s="85"/>
      <c r="E11" s="11" t="s">
        <v>10</v>
      </c>
      <c r="F11" s="11" t="s">
        <v>10</v>
      </c>
      <c r="G11" s="12" t="s">
        <v>35</v>
      </c>
      <c r="H11" s="13" t="s">
        <v>36</v>
      </c>
      <c r="I11" s="14" t="s">
        <v>37</v>
      </c>
      <c r="J11" s="15" t="s">
        <v>38</v>
      </c>
      <c r="K11" s="16" t="s">
        <v>39</v>
      </c>
      <c r="L11" s="14" t="s">
        <v>40</v>
      </c>
      <c r="Z11" s="8" t="s">
        <v>41</v>
      </c>
      <c r="AA11" s="8" t="s">
        <v>42</v>
      </c>
      <c r="AB11" s="8" t="s">
        <v>43</v>
      </c>
      <c r="AC11" s="8" t="s">
        <v>44</v>
      </c>
      <c r="AD11" s="8" t="s">
        <v>45</v>
      </c>
      <c r="AE11" s="8" t="s">
        <v>46</v>
      </c>
      <c r="AF11" s="8" t="s">
        <v>47</v>
      </c>
      <c r="AG11" s="8" t="s">
        <v>48</v>
      </c>
      <c r="AH11" s="8" t="s">
        <v>49</v>
      </c>
      <c r="BH11" s="8" t="s">
        <v>50</v>
      </c>
      <c r="BI11" s="8" t="s">
        <v>51</v>
      </c>
      <c r="BJ11" s="8" t="s">
        <v>52</v>
      </c>
    </row>
    <row r="12" spans="1:75" x14ac:dyDescent="0.25">
      <c r="A12" s="17" t="s">
        <v>53</v>
      </c>
      <c r="B12" s="18" t="s">
        <v>54</v>
      </c>
      <c r="C12" s="91" t="s">
        <v>55</v>
      </c>
      <c r="D12" s="92"/>
      <c r="E12" s="19" t="s">
        <v>10</v>
      </c>
      <c r="F12" s="19" t="s">
        <v>10</v>
      </c>
      <c r="G12" s="19" t="s">
        <v>10</v>
      </c>
      <c r="H12" s="20">
        <f>SUM(H13:H13)</f>
        <v>0</v>
      </c>
      <c r="I12" s="20">
        <f>SUM(I13:I13)</f>
        <v>0</v>
      </c>
      <c r="J12" s="20">
        <f>SUM(J13:J13)</f>
        <v>0</v>
      </c>
      <c r="K12" s="21" t="s">
        <v>53</v>
      </c>
      <c r="L12" s="22" t="s">
        <v>53</v>
      </c>
      <c r="AI12" s="8" t="s">
        <v>53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5" ht="13.5" customHeight="1" x14ac:dyDescent="0.25">
      <c r="A13" s="2" t="s">
        <v>56</v>
      </c>
      <c r="B13" s="3" t="s">
        <v>57</v>
      </c>
      <c r="C13" s="80" t="s">
        <v>58</v>
      </c>
      <c r="D13" s="75"/>
      <c r="E13" s="3" t="s">
        <v>59</v>
      </c>
      <c r="F13" s="23">
        <v>32</v>
      </c>
      <c r="G13" s="23">
        <v>0</v>
      </c>
      <c r="H13" s="23">
        <f>F13*AO13</f>
        <v>0</v>
      </c>
      <c r="I13" s="23">
        <f>F13*AP13</f>
        <v>0</v>
      </c>
      <c r="J13" s="23">
        <f>F13*G13</f>
        <v>0</v>
      </c>
      <c r="K13" s="23">
        <v>0</v>
      </c>
      <c r="L13" s="24">
        <v>0</v>
      </c>
      <c r="Z13" s="23">
        <f>IF(AQ13="5",BJ13,0)</f>
        <v>0</v>
      </c>
      <c r="AB13" s="23">
        <f>IF(AQ13="1",BH13,0)</f>
        <v>0</v>
      </c>
      <c r="AC13" s="23">
        <f>IF(AQ13="1",BI13,0)</f>
        <v>0</v>
      </c>
      <c r="AD13" s="23">
        <f>IF(AQ13="7",BH13,0)</f>
        <v>0</v>
      </c>
      <c r="AE13" s="23">
        <f>IF(AQ13="7",BI13,0)</f>
        <v>0</v>
      </c>
      <c r="AF13" s="23">
        <f>IF(AQ13="2",BH13,0)</f>
        <v>0</v>
      </c>
      <c r="AG13" s="23">
        <f>IF(AQ13="2",BI13,0)</f>
        <v>0</v>
      </c>
      <c r="AH13" s="23">
        <f>IF(AQ13="0",BJ13,0)</f>
        <v>0</v>
      </c>
      <c r="AI13" s="8" t="s">
        <v>53</v>
      </c>
      <c r="AJ13" s="23">
        <f>IF(AN13=0,J13,0)</f>
        <v>0</v>
      </c>
      <c r="AK13" s="23">
        <f>IF(AN13=12,J13,0)</f>
        <v>0</v>
      </c>
      <c r="AL13" s="23">
        <f>IF(AN13=21,J13,0)</f>
        <v>0</v>
      </c>
      <c r="AN13" s="23">
        <v>21</v>
      </c>
      <c r="AO13" s="23">
        <f>G13*0</f>
        <v>0</v>
      </c>
      <c r="AP13" s="23">
        <f>G13*(1-0)</f>
        <v>0</v>
      </c>
      <c r="AQ13" s="25" t="s">
        <v>56</v>
      </c>
      <c r="AV13" s="23">
        <f>AW13+AX13</f>
        <v>0</v>
      </c>
      <c r="AW13" s="23">
        <f>F13*AO13</f>
        <v>0</v>
      </c>
      <c r="AX13" s="23">
        <f>F13*AP13</f>
        <v>0</v>
      </c>
      <c r="AY13" s="25" t="s">
        <v>60</v>
      </c>
      <c r="AZ13" s="25" t="s">
        <v>61</v>
      </c>
      <c r="BA13" s="8" t="s">
        <v>62</v>
      </c>
      <c r="BC13" s="23">
        <f>AW13+AX13</f>
        <v>0</v>
      </c>
      <c r="BD13" s="23">
        <f>G13/(100-BE13)*100</f>
        <v>0</v>
      </c>
      <c r="BE13" s="23">
        <v>0</v>
      </c>
      <c r="BF13" s="23">
        <f>13</f>
        <v>13</v>
      </c>
      <c r="BH13" s="23">
        <f>F13*AO13</f>
        <v>0</v>
      </c>
      <c r="BI13" s="23">
        <f>F13*AP13</f>
        <v>0</v>
      </c>
      <c r="BJ13" s="23">
        <f>F13*G13</f>
        <v>0</v>
      </c>
      <c r="BK13" s="23"/>
      <c r="BL13" s="23"/>
      <c r="BW13" s="23">
        <v>21</v>
      </c>
    </row>
    <row r="14" spans="1:75" x14ac:dyDescent="0.25">
      <c r="A14" s="26" t="s">
        <v>53</v>
      </c>
      <c r="B14" s="27" t="s">
        <v>63</v>
      </c>
      <c r="C14" s="98" t="s">
        <v>64</v>
      </c>
      <c r="D14" s="99"/>
      <c r="E14" s="28" t="s">
        <v>10</v>
      </c>
      <c r="F14" s="28" t="s">
        <v>10</v>
      </c>
      <c r="G14" s="28" t="s">
        <v>10</v>
      </c>
      <c r="H14" s="1">
        <f>SUM(H15:H16)</f>
        <v>0</v>
      </c>
      <c r="I14" s="1">
        <f>SUM(I15:I16)</f>
        <v>0</v>
      </c>
      <c r="J14" s="1">
        <f>SUM(J15:J16)</f>
        <v>0</v>
      </c>
      <c r="K14" s="8" t="s">
        <v>53</v>
      </c>
      <c r="L14" s="29" t="s">
        <v>53</v>
      </c>
      <c r="AI14" s="8" t="s">
        <v>53</v>
      </c>
      <c r="AS14" s="1">
        <f>SUM(AJ15:AJ16)</f>
        <v>0</v>
      </c>
      <c r="AT14" s="1">
        <f>SUM(AK15:AK16)</f>
        <v>0</v>
      </c>
      <c r="AU14" s="1">
        <f>SUM(AL15:AL16)</f>
        <v>0</v>
      </c>
    </row>
    <row r="15" spans="1:75" ht="13.5" customHeight="1" x14ac:dyDescent="0.25">
      <c r="A15" s="2" t="s">
        <v>65</v>
      </c>
      <c r="B15" s="3" t="s">
        <v>66</v>
      </c>
      <c r="C15" s="80" t="s">
        <v>67</v>
      </c>
      <c r="D15" s="75"/>
      <c r="E15" s="3" t="s">
        <v>68</v>
      </c>
      <c r="F15" s="23">
        <v>2</v>
      </c>
      <c r="G15" s="23">
        <v>0</v>
      </c>
      <c r="H15" s="23">
        <f>F15*AO15</f>
        <v>0</v>
      </c>
      <c r="I15" s="23">
        <f>F15*AP15</f>
        <v>0</v>
      </c>
      <c r="J15" s="23">
        <f>F15*G15</f>
        <v>0</v>
      </c>
      <c r="K15" s="23">
        <v>0.11122</v>
      </c>
      <c r="L15" s="24">
        <v>0.11122</v>
      </c>
      <c r="Z15" s="23">
        <f>IF(AQ15="5",BJ15,0)</f>
        <v>0</v>
      </c>
      <c r="AB15" s="23">
        <f>IF(AQ15="1",BH15,0)</f>
        <v>0</v>
      </c>
      <c r="AC15" s="23">
        <f>IF(AQ15="1",BI15,0)</f>
        <v>0</v>
      </c>
      <c r="AD15" s="23">
        <f>IF(AQ15="7",BH15,0)</f>
        <v>0</v>
      </c>
      <c r="AE15" s="23">
        <f>IF(AQ15="7",BI15,0)</f>
        <v>0</v>
      </c>
      <c r="AF15" s="23">
        <f>IF(AQ15="2",BH15,0)</f>
        <v>0</v>
      </c>
      <c r="AG15" s="23">
        <f>IF(AQ15="2",BI15,0)</f>
        <v>0</v>
      </c>
      <c r="AH15" s="23">
        <f>IF(AQ15="0",BJ15,0)</f>
        <v>0</v>
      </c>
      <c r="AI15" s="8" t="s">
        <v>53</v>
      </c>
      <c r="AJ15" s="23">
        <f>IF(AN15=0,J15,0)</f>
        <v>0</v>
      </c>
      <c r="AK15" s="23">
        <f>IF(AN15=12,J15,0)</f>
        <v>0</v>
      </c>
      <c r="AL15" s="23">
        <f>IF(AN15=21,J15,0)</f>
        <v>0</v>
      </c>
      <c r="AN15" s="23">
        <v>21</v>
      </c>
      <c r="AO15" s="23">
        <f>G15*0.620550964</f>
        <v>0</v>
      </c>
      <c r="AP15" s="23">
        <f>G15*(1-0.620550964)</f>
        <v>0</v>
      </c>
      <c r="AQ15" s="25" t="s">
        <v>56</v>
      </c>
      <c r="AV15" s="23">
        <f>AW15+AX15</f>
        <v>0</v>
      </c>
      <c r="AW15" s="23">
        <f>F15*AO15</f>
        <v>0</v>
      </c>
      <c r="AX15" s="23">
        <f>F15*AP15</f>
        <v>0</v>
      </c>
      <c r="AY15" s="25" t="s">
        <v>69</v>
      </c>
      <c r="AZ15" s="25" t="s">
        <v>70</v>
      </c>
      <c r="BA15" s="8" t="s">
        <v>62</v>
      </c>
      <c r="BC15" s="23">
        <f>AW15+AX15</f>
        <v>0</v>
      </c>
      <c r="BD15" s="23">
        <f>G15/(100-BE15)*100</f>
        <v>0</v>
      </c>
      <c r="BE15" s="23">
        <v>0</v>
      </c>
      <c r="BF15" s="23">
        <f>15</f>
        <v>15</v>
      </c>
      <c r="BH15" s="23">
        <f>F15*AO15</f>
        <v>0</v>
      </c>
      <c r="BI15" s="23">
        <f>F15*AP15</f>
        <v>0</v>
      </c>
      <c r="BJ15" s="23">
        <f>F15*G15</f>
        <v>0</v>
      </c>
      <c r="BK15" s="23"/>
      <c r="BL15" s="23">
        <v>31</v>
      </c>
      <c r="BW15" s="23">
        <v>21</v>
      </c>
    </row>
    <row r="16" spans="1:75" ht="13.5" customHeight="1" x14ac:dyDescent="0.25">
      <c r="A16" s="2" t="s">
        <v>71</v>
      </c>
      <c r="B16" s="3" t="s">
        <v>72</v>
      </c>
      <c r="C16" s="80" t="s">
        <v>73</v>
      </c>
      <c r="D16" s="75"/>
      <c r="E16" s="3" t="s">
        <v>68</v>
      </c>
      <c r="F16" s="23">
        <v>1</v>
      </c>
      <c r="G16" s="23">
        <v>0</v>
      </c>
      <c r="H16" s="23">
        <f>F16*AO16</f>
        <v>0</v>
      </c>
      <c r="I16" s="23">
        <f>F16*AP16</f>
        <v>0</v>
      </c>
      <c r="J16" s="23">
        <f>F16*G16</f>
        <v>0</v>
      </c>
      <c r="K16" s="23">
        <v>4.5420000000000002E-2</v>
      </c>
      <c r="L16" s="24">
        <v>4.5420000000000002E-2</v>
      </c>
      <c r="Z16" s="23">
        <f>IF(AQ16="5",BJ16,0)</f>
        <v>0</v>
      </c>
      <c r="AB16" s="23">
        <f>IF(AQ16="1",BH16,0)</f>
        <v>0</v>
      </c>
      <c r="AC16" s="23">
        <f>IF(AQ16="1",BI16,0)</f>
        <v>0</v>
      </c>
      <c r="AD16" s="23">
        <f>IF(AQ16="7",BH16,0)</f>
        <v>0</v>
      </c>
      <c r="AE16" s="23">
        <f>IF(AQ16="7",BI16,0)</f>
        <v>0</v>
      </c>
      <c r="AF16" s="23">
        <f>IF(AQ16="2",BH16,0)</f>
        <v>0</v>
      </c>
      <c r="AG16" s="23">
        <f>IF(AQ16="2",BI16,0)</f>
        <v>0</v>
      </c>
      <c r="AH16" s="23">
        <f>IF(AQ16="0",BJ16,0)</f>
        <v>0</v>
      </c>
      <c r="AI16" s="8" t="s">
        <v>53</v>
      </c>
      <c r="AJ16" s="23">
        <f>IF(AN16=0,J16,0)</f>
        <v>0</v>
      </c>
      <c r="AK16" s="23">
        <f>IF(AN16=12,J16,0)</f>
        <v>0</v>
      </c>
      <c r="AL16" s="23">
        <f>IF(AN16=21,J16,0)</f>
        <v>0</v>
      </c>
      <c r="AN16" s="23">
        <v>21</v>
      </c>
      <c r="AO16" s="23">
        <f>G16*0.73255814</f>
        <v>0</v>
      </c>
      <c r="AP16" s="23">
        <f>G16*(1-0.73255814)</f>
        <v>0</v>
      </c>
      <c r="AQ16" s="25" t="s">
        <v>56</v>
      </c>
      <c r="AV16" s="23">
        <f>AW16+AX16</f>
        <v>0</v>
      </c>
      <c r="AW16" s="23">
        <f>F16*AO16</f>
        <v>0</v>
      </c>
      <c r="AX16" s="23">
        <f>F16*AP16</f>
        <v>0</v>
      </c>
      <c r="AY16" s="25" t="s">
        <v>69</v>
      </c>
      <c r="AZ16" s="25" t="s">
        <v>70</v>
      </c>
      <c r="BA16" s="8" t="s">
        <v>62</v>
      </c>
      <c r="BC16" s="23">
        <f>AW16+AX16</f>
        <v>0</v>
      </c>
      <c r="BD16" s="23">
        <f>G16/(100-BE16)*100</f>
        <v>0</v>
      </c>
      <c r="BE16" s="23">
        <v>0</v>
      </c>
      <c r="BF16" s="23">
        <f>16</f>
        <v>16</v>
      </c>
      <c r="BH16" s="23">
        <f>F16*AO16</f>
        <v>0</v>
      </c>
      <c r="BI16" s="23">
        <f>F16*AP16</f>
        <v>0</v>
      </c>
      <c r="BJ16" s="23">
        <f>F16*G16</f>
        <v>0</v>
      </c>
      <c r="BK16" s="23"/>
      <c r="BL16" s="23">
        <v>31</v>
      </c>
      <c r="BW16" s="23">
        <v>21</v>
      </c>
    </row>
    <row r="17" spans="1:75" x14ac:dyDescent="0.25">
      <c r="A17" s="26" t="s">
        <v>53</v>
      </c>
      <c r="B17" s="27" t="s">
        <v>74</v>
      </c>
      <c r="C17" s="98" t="s">
        <v>75</v>
      </c>
      <c r="D17" s="99"/>
      <c r="E17" s="28" t="s">
        <v>10</v>
      </c>
      <c r="F17" s="28" t="s">
        <v>10</v>
      </c>
      <c r="G17" s="28" t="s">
        <v>10</v>
      </c>
      <c r="H17" s="1">
        <f>SUM(H18:H19)</f>
        <v>0</v>
      </c>
      <c r="I17" s="1">
        <f>SUM(I18:I19)</f>
        <v>0</v>
      </c>
      <c r="J17" s="1">
        <f>SUM(J18:J19)</f>
        <v>0</v>
      </c>
      <c r="K17" s="8" t="s">
        <v>53</v>
      </c>
      <c r="L17" s="29" t="s">
        <v>53</v>
      </c>
      <c r="AI17" s="8" t="s">
        <v>53</v>
      </c>
      <c r="AS17" s="1">
        <f>SUM(AJ18:AJ19)</f>
        <v>0</v>
      </c>
      <c r="AT17" s="1">
        <f>SUM(AK18:AK19)</f>
        <v>0</v>
      </c>
      <c r="AU17" s="1">
        <f>SUM(AL18:AL19)</f>
        <v>0</v>
      </c>
    </row>
    <row r="18" spans="1:75" ht="13.5" customHeight="1" x14ac:dyDescent="0.25">
      <c r="A18" s="2" t="s">
        <v>76</v>
      </c>
      <c r="B18" s="3" t="s">
        <v>77</v>
      </c>
      <c r="C18" s="80" t="s">
        <v>78</v>
      </c>
      <c r="D18" s="75"/>
      <c r="E18" s="3" t="s">
        <v>68</v>
      </c>
      <c r="F18" s="23">
        <v>4</v>
      </c>
      <c r="G18" s="23">
        <v>0</v>
      </c>
      <c r="H18" s="23">
        <f>F18*AO18</f>
        <v>0</v>
      </c>
      <c r="I18" s="23">
        <f>F18*AP18</f>
        <v>0</v>
      </c>
      <c r="J18" s="23">
        <f>F18*G18</f>
        <v>0</v>
      </c>
      <c r="K18" s="23">
        <v>1.3390000000000001E-2</v>
      </c>
      <c r="L18" s="24">
        <v>1.3390000000000001E-2</v>
      </c>
      <c r="Z18" s="23">
        <f>IF(AQ18="5",BJ18,0)</f>
        <v>0</v>
      </c>
      <c r="AB18" s="23">
        <f>IF(AQ18="1",BH18,0)</f>
        <v>0</v>
      </c>
      <c r="AC18" s="23">
        <f>IF(AQ18="1",BI18,0)</f>
        <v>0</v>
      </c>
      <c r="AD18" s="23">
        <f>IF(AQ18="7",BH18,0)</f>
        <v>0</v>
      </c>
      <c r="AE18" s="23">
        <f>IF(AQ18="7",BI18,0)</f>
        <v>0</v>
      </c>
      <c r="AF18" s="23">
        <f>IF(AQ18="2",BH18,0)</f>
        <v>0</v>
      </c>
      <c r="AG18" s="23">
        <f>IF(AQ18="2",BI18,0)</f>
        <v>0</v>
      </c>
      <c r="AH18" s="23">
        <f>IF(AQ18="0",BJ18,0)</f>
        <v>0</v>
      </c>
      <c r="AI18" s="8" t="s">
        <v>53</v>
      </c>
      <c r="AJ18" s="23">
        <f>IF(AN18=0,J18,0)</f>
        <v>0</v>
      </c>
      <c r="AK18" s="23">
        <f>IF(AN18=12,J18,0)</f>
        <v>0</v>
      </c>
      <c r="AL18" s="23">
        <f>IF(AN18=21,J18,0)</f>
        <v>0</v>
      </c>
      <c r="AN18" s="23">
        <v>21</v>
      </c>
      <c r="AO18" s="23">
        <f>G18*0.266075269</f>
        <v>0</v>
      </c>
      <c r="AP18" s="23">
        <f>G18*(1-0.266075269)</f>
        <v>0</v>
      </c>
      <c r="AQ18" s="25" t="s">
        <v>56</v>
      </c>
      <c r="AV18" s="23">
        <f>AW18+AX18</f>
        <v>0</v>
      </c>
      <c r="AW18" s="23">
        <f>F18*AO18</f>
        <v>0</v>
      </c>
      <c r="AX18" s="23">
        <f>F18*AP18</f>
        <v>0</v>
      </c>
      <c r="AY18" s="25" t="s">
        <v>79</v>
      </c>
      <c r="AZ18" s="25" t="s">
        <v>70</v>
      </c>
      <c r="BA18" s="8" t="s">
        <v>62</v>
      </c>
      <c r="BC18" s="23">
        <f>AW18+AX18</f>
        <v>0</v>
      </c>
      <c r="BD18" s="23">
        <f>G18/(100-BE18)*100</f>
        <v>0</v>
      </c>
      <c r="BE18" s="23">
        <v>0</v>
      </c>
      <c r="BF18" s="23">
        <f>18</f>
        <v>18</v>
      </c>
      <c r="BH18" s="23">
        <f>F18*AO18</f>
        <v>0</v>
      </c>
      <c r="BI18" s="23">
        <f>F18*AP18</f>
        <v>0</v>
      </c>
      <c r="BJ18" s="23">
        <f>F18*G18</f>
        <v>0</v>
      </c>
      <c r="BK18" s="23"/>
      <c r="BL18" s="23">
        <v>34</v>
      </c>
      <c r="BW18" s="23">
        <v>21</v>
      </c>
    </row>
    <row r="19" spans="1:75" ht="13.5" customHeight="1" x14ac:dyDescent="0.25">
      <c r="A19" s="2" t="s">
        <v>80</v>
      </c>
      <c r="B19" s="3" t="s">
        <v>81</v>
      </c>
      <c r="C19" s="80" t="s">
        <v>82</v>
      </c>
      <c r="D19" s="75"/>
      <c r="E19" s="3" t="s">
        <v>68</v>
      </c>
      <c r="F19" s="23">
        <v>6</v>
      </c>
      <c r="G19" s="23">
        <v>0</v>
      </c>
      <c r="H19" s="23">
        <f>F19*AO19</f>
        <v>0</v>
      </c>
      <c r="I19" s="23">
        <f>F19*AP19</f>
        <v>0</v>
      </c>
      <c r="J19" s="23">
        <f>F19*G19</f>
        <v>0</v>
      </c>
      <c r="K19" s="23">
        <v>3.2200000000000002E-3</v>
      </c>
      <c r="L19" s="24">
        <v>3.2200000000000002E-3</v>
      </c>
      <c r="Z19" s="23">
        <f>IF(AQ19="5",BJ19,0)</f>
        <v>0</v>
      </c>
      <c r="AB19" s="23">
        <f>IF(AQ19="1",BH19,0)</f>
        <v>0</v>
      </c>
      <c r="AC19" s="23">
        <f>IF(AQ19="1",BI19,0)</f>
        <v>0</v>
      </c>
      <c r="AD19" s="23">
        <f>IF(AQ19="7",BH19,0)</f>
        <v>0</v>
      </c>
      <c r="AE19" s="23">
        <f>IF(AQ19="7",BI19,0)</f>
        <v>0</v>
      </c>
      <c r="AF19" s="23">
        <f>IF(AQ19="2",BH19,0)</f>
        <v>0</v>
      </c>
      <c r="AG19" s="23">
        <f>IF(AQ19="2",BI19,0)</f>
        <v>0</v>
      </c>
      <c r="AH19" s="23">
        <f>IF(AQ19="0",BJ19,0)</f>
        <v>0</v>
      </c>
      <c r="AI19" s="8" t="s">
        <v>53</v>
      </c>
      <c r="AJ19" s="23">
        <f>IF(AN19=0,J19,0)</f>
        <v>0</v>
      </c>
      <c r="AK19" s="23">
        <f>IF(AN19=12,J19,0)</f>
        <v>0</v>
      </c>
      <c r="AL19" s="23">
        <f>IF(AN19=21,J19,0)</f>
        <v>0</v>
      </c>
      <c r="AN19" s="23">
        <v>21</v>
      </c>
      <c r="AO19" s="23">
        <f>G19*0.217178423</f>
        <v>0</v>
      </c>
      <c r="AP19" s="23">
        <f>G19*(1-0.217178423)</f>
        <v>0</v>
      </c>
      <c r="AQ19" s="25" t="s">
        <v>56</v>
      </c>
      <c r="AV19" s="23">
        <f>AW19+AX19</f>
        <v>0</v>
      </c>
      <c r="AW19" s="23">
        <f>F19*AO19</f>
        <v>0</v>
      </c>
      <c r="AX19" s="23">
        <f>F19*AP19</f>
        <v>0</v>
      </c>
      <c r="AY19" s="25" t="s">
        <v>79</v>
      </c>
      <c r="AZ19" s="25" t="s">
        <v>70</v>
      </c>
      <c r="BA19" s="8" t="s">
        <v>62</v>
      </c>
      <c r="BC19" s="23">
        <f>AW19+AX19</f>
        <v>0</v>
      </c>
      <c r="BD19" s="23">
        <f>G19/(100-BE19)*100</f>
        <v>0</v>
      </c>
      <c r="BE19" s="23">
        <v>0</v>
      </c>
      <c r="BF19" s="23">
        <f>19</f>
        <v>19</v>
      </c>
      <c r="BH19" s="23">
        <f>F19*AO19</f>
        <v>0</v>
      </c>
      <c r="BI19" s="23">
        <f>F19*AP19</f>
        <v>0</v>
      </c>
      <c r="BJ19" s="23">
        <f>F19*G19</f>
        <v>0</v>
      </c>
      <c r="BK19" s="23"/>
      <c r="BL19" s="23">
        <v>34</v>
      </c>
      <c r="BW19" s="23">
        <v>21</v>
      </c>
    </row>
    <row r="20" spans="1:75" x14ac:dyDescent="0.25">
      <c r="A20" s="26" t="s">
        <v>53</v>
      </c>
      <c r="B20" s="27" t="s">
        <v>83</v>
      </c>
      <c r="C20" s="98" t="s">
        <v>84</v>
      </c>
      <c r="D20" s="99"/>
      <c r="E20" s="28" t="s">
        <v>10</v>
      </c>
      <c r="F20" s="28" t="s">
        <v>10</v>
      </c>
      <c r="G20" s="28" t="s">
        <v>10</v>
      </c>
      <c r="H20" s="1">
        <f>SUM(H21:H21)</f>
        <v>0</v>
      </c>
      <c r="I20" s="1">
        <f>SUM(I21:I21)</f>
        <v>0</v>
      </c>
      <c r="J20" s="1">
        <f>SUM(J21:J21)</f>
        <v>0</v>
      </c>
      <c r="K20" s="8" t="s">
        <v>53</v>
      </c>
      <c r="L20" s="29" t="s">
        <v>53</v>
      </c>
      <c r="AI20" s="8" t="s">
        <v>53</v>
      </c>
      <c r="AS20" s="1">
        <f>SUM(AJ21:AJ21)</f>
        <v>0</v>
      </c>
      <c r="AT20" s="1">
        <f>SUM(AK21:AK21)</f>
        <v>0</v>
      </c>
      <c r="AU20" s="1">
        <f>SUM(AL21:AL21)</f>
        <v>0</v>
      </c>
    </row>
    <row r="21" spans="1:75" ht="13.5" customHeight="1" x14ac:dyDescent="0.25">
      <c r="A21" s="2" t="s">
        <v>85</v>
      </c>
      <c r="B21" s="3" t="s">
        <v>86</v>
      </c>
      <c r="C21" s="80" t="s">
        <v>87</v>
      </c>
      <c r="D21" s="75"/>
      <c r="E21" s="3" t="s">
        <v>88</v>
      </c>
      <c r="F21" s="23">
        <v>125.45</v>
      </c>
      <c r="G21" s="23">
        <v>0</v>
      </c>
      <c r="H21" s="23">
        <f>F21*AO21</f>
        <v>0</v>
      </c>
      <c r="I21" s="23">
        <f>F21*AP21</f>
        <v>0</v>
      </c>
      <c r="J21" s="23">
        <f>F21*G21</f>
        <v>0</v>
      </c>
      <c r="K21" s="23">
        <v>5.3899999999999998E-3</v>
      </c>
      <c r="L21" s="24">
        <v>5.3899999999999998E-3</v>
      </c>
      <c r="Z21" s="23">
        <f>IF(AQ21="5",BJ21,0)</f>
        <v>0</v>
      </c>
      <c r="AB21" s="23">
        <f>IF(AQ21="1",BH21,0)</f>
        <v>0</v>
      </c>
      <c r="AC21" s="23">
        <f>IF(AQ21="1",BI21,0)</f>
        <v>0</v>
      </c>
      <c r="AD21" s="23">
        <f>IF(AQ21="7",BH21,0)</f>
        <v>0</v>
      </c>
      <c r="AE21" s="23">
        <f>IF(AQ21="7",BI21,0)</f>
        <v>0</v>
      </c>
      <c r="AF21" s="23">
        <f>IF(AQ21="2",BH21,0)</f>
        <v>0</v>
      </c>
      <c r="AG21" s="23">
        <f>IF(AQ21="2",BI21,0)</f>
        <v>0</v>
      </c>
      <c r="AH21" s="23">
        <f>IF(AQ21="0",BJ21,0)</f>
        <v>0</v>
      </c>
      <c r="AI21" s="8" t="s">
        <v>53</v>
      </c>
      <c r="AJ21" s="23">
        <f>IF(AN21=0,J21,0)</f>
        <v>0</v>
      </c>
      <c r="AK21" s="23">
        <f>IF(AN21=12,J21,0)</f>
        <v>0</v>
      </c>
      <c r="AL21" s="23">
        <f>IF(AN21=21,J21,0)</f>
        <v>0</v>
      </c>
      <c r="AN21" s="23">
        <v>21</v>
      </c>
      <c r="AO21" s="23">
        <f>G21*0.04190106</f>
        <v>0</v>
      </c>
      <c r="AP21" s="23">
        <f>G21*(1-0.04190106)</f>
        <v>0</v>
      </c>
      <c r="AQ21" s="25" t="s">
        <v>56</v>
      </c>
      <c r="AV21" s="23">
        <f>AW21+AX21</f>
        <v>0</v>
      </c>
      <c r="AW21" s="23">
        <f>F21*AO21</f>
        <v>0</v>
      </c>
      <c r="AX21" s="23">
        <f>F21*AP21</f>
        <v>0</v>
      </c>
      <c r="AY21" s="25" t="s">
        <v>89</v>
      </c>
      <c r="AZ21" s="25" t="s">
        <v>90</v>
      </c>
      <c r="BA21" s="8" t="s">
        <v>62</v>
      </c>
      <c r="BC21" s="23">
        <f>AW21+AX21</f>
        <v>0</v>
      </c>
      <c r="BD21" s="23">
        <f>G21/(100-BE21)*100</f>
        <v>0</v>
      </c>
      <c r="BE21" s="23">
        <v>0</v>
      </c>
      <c r="BF21" s="23">
        <f>21</f>
        <v>21</v>
      </c>
      <c r="BH21" s="23">
        <f>F21*AO21</f>
        <v>0</v>
      </c>
      <c r="BI21" s="23">
        <f>F21*AP21</f>
        <v>0</v>
      </c>
      <c r="BJ21" s="23">
        <f>F21*G21</f>
        <v>0</v>
      </c>
      <c r="BK21" s="23"/>
      <c r="BL21" s="23">
        <v>61</v>
      </c>
      <c r="BW21" s="23">
        <v>21</v>
      </c>
    </row>
    <row r="22" spans="1:75" x14ac:dyDescent="0.25">
      <c r="A22" s="30"/>
      <c r="C22" s="31" t="s">
        <v>91</v>
      </c>
      <c r="D22" s="31" t="s">
        <v>53</v>
      </c>
      <c r="F22" s="32">
        <v>125.45</v>
      </c>
      <c r="L22" s="33"/>
    </row>
    <row r="23" spans="1:75" x14ac:dyDescent="0.25">
      <c r="A23" s="26" t="s">
        <v>53</v>
      </c>
      <c r="B23" s="27" t="s">
        <v>92</v>
      </c>
      <c r="C23" s="98" t="s">
        <v>93</v>
      </c>
      <c r="D23" s="99"/>
      <c r="E23" s="28" t="s">
        <v>10</v>
      </c>
      <c r="F23" s="28" t="s">
        <v>10</v>
      </c>
      <c r="G23" s="28" t="s">
        <v>10</v>
      </c>
      <c r="H23" s="1">
        <f>SUM(H24:H30)</f>
        <v>0</v>
      </c>
      <c r="I23" s="1">
        <f>SUM(I24:I30)</f>
        <v>0</v>
      </c>
      <c r="J23" s="1">
        <f>SUM(J24:J30)</f>
        <v>0</v>
      </c>
      <c r="K23" s="8" t="s">
        <v>53</v>
      </c>
      <c r="L23" s="29" t="s">
        <v>53</v>
      </c>
      <c r="AI23" s="8" t="s">
        <v>53</v>
      </c>
      <c r="AS23" s="1">
        <f>SUM(AJ24:AJ30)</f>
        <v>0</v>
      </c>
      <c r="AT23" s="1">
        <f>SUM(AK24:AK30)</f>
        <v>0</v>
      </c>
      <c r="AU23" s="1">
        <f>SUM(AL24:AL30)</f>
        <v>0</v>
      </c>
    </row>
    <row r="24" spans="1:75" ht="13.5" customHeight="1" x14ac:dyDescent="0.25">
      <c r="A24" s="2" t="s">
        <v>94</v>
      </c>
      <c r="B24" s="3" t="s">
        <v>95</v>
      </c>
      <c r="C24" s="80" t="s">
        <v>96</v>
      </c>
      <c r="D24" s="75"/>
      <c r="E24" s="3" t="s">
        <v>88</v>
      </c>
      <c r="F24" s="23">
        <v>3.5</v>
      </c>
      <c r="G24" s="23">
        <v>0</v>
      </c>
      <c r="H24" s="23">
        <f t="shared" ref="H24:H30" si="0">F24*AO24</f>
        <v>0</v>
      </c>
      <c r="I24" s="23">
        <f t="shared" ref="I24:I30" si="1">F24*AP24</f>
        <v>0</v>
      </c>
      <c r="J24" s="23">
        <f t="shared" ref="J24:J30" si="2">F24*G24</f>
        <v>0</v>
      </c>
      <c r="K24" s="23">
        <v>0</v>
      </c>
      <c r="L24" s="24">
        <v>2.0999999999999999E-3</v>
      </c>
      <c r="Z24" s="23">
        <f t="shared" ref="Z24:Z30" si="3">IF(AQ24="5",BJ24,0)</f>
        <v>0</v>
      </c>
      <c r="AB24" s="23">
        <f t="shared" ref="AB24:AB30" si="4">IF(AQ24="1",BH24,0)</f>
        <v>0</v>
      </c>
      <c r="AC24" s="23">
        <f t="shared" ref="AC24:AC30" si="5">IF(AQ24="1",BI24,0)</f>
        <v>0</v>
      </c>
      <c r="AD24" s="23">
        <f t="shared" ref="AD24:AD30" si="6">IF(AQ24="7",BH24,0)</f>
        <v>0</v>
      </c>
      <c r="AE24" s="23">
        <f t="shared" ref="AE24:AE30" si="7">IF(AQ24="7",BI24,0)</f>
        <v>0</v>
      </c>
      <c r="AF24" s="23">
        <f t="shared" ref="AF24:AF30" si="8">IF(AQ24="2",BH24,0)</f>
        <v>0</v>
      </c>
      <c r="AG24" s="23">
        <f t="shared" ref="AG24:AG30" si="9">IF(AQ24="2",BI24,0)</f>
        <v>0</v>
      </c>
      <c r="AH24" s="23">
        <f t="shared" ref="AH24:AH30" si="10">IF(AQ24="0",BJ24,0)</f>
        <v>0</v>
      </c>
      <c r="AI24" s="8" t="s">
        <v>53</v>
      </c>
      <c r="AJ24" s="23">
        <f t="shared" ref="AJ24:AJ30" si="11">IF(AN24=0,J24,0)</f>
        <v>0</v>
      </c>
      <c r="AK24" s="23">
        <f t="shared" ref="AK24:AK30" si="12">IF(AN24=12,J24,0)</f>
        <v>0</v>
      </c>
      <c r="AL24" s="23">
        <f t="shared" ref="AL24:AL30" si="13">IF(AN24=21,J24,0)</f>
        <v>0</v>
      </c>
      <c r="AN24" s="23">
        <v>21</v>
      </c>
      <c r="AO24" s="23">
        <f>G24*0</f>
        <v>0</v>
      </c>
      <c r="AP24" s="23">
        <f>G24*(1-0)</f>
        <v>0</v>
      </c>
      <c r="AQ24" s="25" t="s">
        <v>94</v>
      </c>
      <c r="AV24" s="23">
        <f t="shared" ref="AV24:AV30" si="14">AW24+AX24</f>
        <v>0</v>
      </c>
      <c r="AW24" s="23">
        <f t="shared" ref="AW24:AW30" si="15">F24*AO24</f>
        <v>0</v>
      </c>
      <c r="AX24" s="23">
        <f t="shared" ref="AX24:AX30" si="16">F24*AP24</f>
        <v>0</v>
      </c>
      <c r="AY24" s="25" t="s">
        <v>97</v>
      </c>
      <c r="AZ24" s="25" t="s">
        <v>98</v>
      </c>
      <c r="BA24" s="8" t="s">
        <v>62</v>
      </c>
      <c r="BC24" s="23">
        <f t="shared" ref="BC24:BC30" si="17">AW24+AX24</f>
        <v>0</v>
      </c>
      <c r="BD24" s="23">
        <f t="shared" ref="BD24:BD30" si="18">G24/(100-BE24)*100</f>
        <v>0</v>
      </c>
      <c r="BE24" s="23">
        <v>0</v>
      </c>
      <c r="BF24" s="23">
        <f>24</f>
        <v>24</v>
      </c>
      <c r="BH24" s="23">
        <f t="shared" ref="BH24:BH30" si="19">F24*AO24</f>
        <v>0</v>
      </c>
      <c r="BI24" s="23">
        <f t="shared" ref="BI24:BI30" si="20">F24*AP24</f>
        <v>0</v>
      </c>
      <c r="BJ24" s="23">
        <f t="shared" ref="BJ24:BJ30" si="21">F24*G24</f>
        <v>0</v>
      </c>
      <c r="BK24" s="23"/>
      <c r="BL24" s="23">
        <v>713</v>
      </c>
      <c r="BW24" s="23">
        <v>21</v>
      </c>
    </row>
    <row r="25" spans="1:75" ht="13.5" customHeight="1" x14ac:dyDescent="0.25">
      <c r="A25" s="2" t="s">
        <v>99</v>
      </c>
      <c r="B25" s="3" t="s">
        <v>100</v>
      </c>
      <c r="C25" s="80" t="s">
        <v>101</v>
      </c>
      <c r="D25" s="75"/>
      <c r="E25" s="3" t="s">
        <v>102</v>
      </c>
      <c r="F25" s="23">
        <v>12</v>
      </c>
      <c r="G25" s="23">
        <v>0</v>
      </c>
      <c r="H25" s="23">
        <f t="shared" si="0"/>
        <v>0</v>
      </c>
      <c r="I25" s="23">
        <f t="shared" si="1"/>
        <v>0</v>
      </c>
      <c r="J25" s="23">
        <f t="shared" si="2"/>
        <v>0</v>
      </c>
      <c r="K25" s="23">
        <v>2.3000000000000001E-4</v>
      </c>
      <c r="L25" s="24">
        <v>2.3000000000000001E-4</v>
      </c>
      <c r="Z25" s="23">
        <f t="shared" si="3"/>
        <v>0</v>
      </c>
      <c r="AB25" s="23">
        <f t="shared" si="4"/>
        <v>0</v>
      </c>
      <c r="AC25" s="23">
        <f t="shared" si="5"/>
        <v>0</v>
      </c>
      <c r="AD25" s="23">
        <f t="shared" si="6"/>
        <v>0</v>
      </c>
      <c r="AE25" s="23">
        <f t="shared" si="7"/>
        <v>0</v>
      </c>
      <c r="AF25" s="23">
        <f t="shared" si="8"/>
        <v>0</v>
      </c>
      <c r="AG25" s="23">
        <f t="shared" si="9"/>
        <v>0</v>
      </c>
      <c r="AH25" s="23">
        <f t="shared" si="10"/>
        <v>0</v>
      </c>
      <c r="AI25" s="8" t="s">
        <v>53</v>
      </c>
      <c r="AJ25" s="23">
        <f t="shared" si="11"/>
        <v>0</v>
      </c>
      <c r="AK25" s="23">
        <f t="shared" si="12"/>
        <v>0</v>
      </c>
      <c r="AL25" s="23">
        <f t="shared" si="13"/>
        <v>0</v>
      </c>
      <c r="AN25" s="23">
        <v>21</v>
      </c>
      <c r="AO25" s="23">
        <f>G25*0.774705882</f>
        <v>0</v>
      </c>
      <c r="AP25" s="23">
        <f>G25*(1-0.774705882)</f>
        <v>0</v>
      </c>
      <c r="AQ25" s="25" t="s">
        <v>94</v>
      </c>
      <c r="AV25" s="23">
        <f t="shared" si="14"/>
        <v>0</v>
      </c>
      <c r="AW25" s="23">
        <f t="shared" si="15"/>
        <v>0</v>
      </c>
      <c r="AX25" s="23">
        <f t="shared" si="16"/>
        <v>0</v>
      </c>
      <c r="AY25" s="25" t="s">
        <v>97</v>
      </c>
      <c r="AZ25" s="25" t="s">
        <v>98</v>
      </c>
      <c r="BA25" s="8" t="s">
        <v>62</v>
      </c>
      <c r="BC25" s="23">
        <f t="shared" si="17"/>
        <v>0</v>
      </c>
      <c r="BD25" s="23">
        <f t="shared" si="18"/>
        <v>0</v>
      </c>
      <c r="BE25" s="23">
        <v>0</v>
      </c>
      <c r="BF25" s="23">
        <f>25</f>
        <v>25</v>
      </c>
      <c r="BH25" s="23">
        <f t="shared" si="19"/>
        <v>0</v>
      </c>
      <c r="BI25" s="23">
        <f t="shared" si="20"/>
        <v>0</v>
      </c>
      <c r="BJ25" s="23">
        <f t="shared" si="21"/>
        <v>0</v>
      </c>
      <c r="BK25" s="23"/>
      <c r="BL25" s="23">
        <v>713</v>
      </c>
      <c r="BW25" s="23">
        <v>21</v>
      </c>
    </row>
    <row r="26" spans="1:75" ht="13.5" customHeight="1" x14ac:dyDescent="0.25">
      <c r="A26" s="2" t="s">
        <v>103</v>
      </c>
      <c r="B26" s="3" t="s">
        <v>104</v>
      </c>
      <c r="C26" s="80" t="s">
        <v>105</v>
      </c>
      <c r="D26" s="75"/>
      <c r="E26" s="3" t="s">
        <v>102</v>
      </c>
      <c r="F26" s="23">
        <v>6</v>
      </c>
      <c r="G26" s="23">
        <v>0</v>
      </c>
      <c r="H26" s="23">
        <f t="shared" si="0"/>
        <v>0</v>
      </c>
      <c r="I26" s="23">
        <f t="shared" si="1"/>
        <v>0</v>
      </c>
      <c r="J26" s="23">
        <f t="shared" si="2"/>
        <v>0</v>
      </c>
      <c r="K26" s="23">
        <v>1.9000000000000001E-4</v>
      </c>
      <c r="L26" s="24">
        <v>1.9000000000000001E-4</v>
      </c>
      <c r="Z26" s="23">
        <f t="shared" si="3"/>
        <v>0</v>
      </c>
      <c r="AB26" s="23">
        <f t="shared" si="4"/>
        <v>0</v>
      </c>
      <c r="AC26" s="23">
        <f t="shared" si="5"/>
        <v>0</v>
      </c>
      <c r="AD26" s="23">
        <f t="shared" si="6"/>
        <v>0</v>
      </c>
      <c r="AE26" s="23">
        <f t="shared" si="7"/>
        <v>0</v>
      </c>
      <c r="AF26" s="23">
        <f t="shared" si="8"/>
        <v>0</v>
      </c>
      <c r="AG26" s="23">
        <f t="shared" si="9"/>
        <v>0</v>
      </c>
      <c r="AH26" s="23">
        <f t="shared" si="10"/>
        <v>0</v>
      </c>
      <c r="AI26" s="8" t="s">
        <v>53</v>
      </c>
      <c r="AJ26" s="23">
        <f t="shared" si="11"/>
        <v>0</v>
      </c>
      <c r="AK26" s="23">
        <f t="shared" si="12"/>
        <v>0</v>
      </c>
      <c r="AL26" s="23">
        <f t="shared" si="13"/>
        <v>0</v>
      </c>
      <c r="AN26" s="23">
        <v>21</v>
      </c>
      <c r="AO26" s="23">
        <f>G26*0.754557823</f>
        <v>0</v>
      </c>
      <c r="AP26" s="23">
        <f>G26*(1-0.754557823)</f>
        <v>0</v>
      </c>
      <c r="AQ26" s="25" t="s">
        <v>94</v>
      </c>
      <c r="AV26" s="23">
        <f t="shared" si="14"/>
        <v>0</v>
      </c>
      <c r="AW26" s="23">
        <f t="shared" si="15"/>
        <v>0</v>
      </c>
      <c r="AX26" s="23">
        <f t="shared" si="16"/>
        <v>0</v>
      </c>
      <c r="AY26" s="25" t="s">
        <v>97</v>
      </c>
      <c r="AZ26" s="25" t="s">
        <v>98</v>
      </c>
      <c r="BA26" s="8" t="s">
        <v>62</v>
      </c>
      <c r="BC26" s="23">
        <f t="shared" si="17"/>
        <v>0</v>
      </c>
      <c r="BD26" s="23">
        <f t="shared" si="18"/>
        <v>0</v>
      </c>
      <c r="BE26" s="23">
        <v>0</v>
      </c>
      <c r="BF26" s="23">
        <f>26</f>
        <v>26</v>
      </c>
      <c r="BH26" s="23">
        <f t="shared" si="19"/>
        <v>0</v>
      </c>
      <c r="BI26" s="23">
        <f t="shared" si="20"/>
        <v>0</v>
      </c>
      <c r="BJ26" s="23">
        <f t="shared" si="21"/>
        <v>0</v>
      </c>
      <c r="BK26" s="23"/>
      <c r="BL26" s="23">
        <v>713</v>
      </c>
      <c r="BW26" s="23">
        <v>21</v>
      </c>
    </row>
    <row r="27" spans="1:75" ht="13.5" customHeight="1" x14ac:dyDescent="0.25">
      <c r="A27" s="2" t="s">
        <v>106</v>
      </c>
      <c r="B27" s="3" t="s">
        <v>107</v>
      </c>
      <c r="C27" s="80" t="s">
        <v>108</v>
      </c>
      <c r="D27" s="75"/>
      <c r="E27" s="3" t="s">
        <v>102</v>
      </c>
      <c r="F27" s="23">
        <v>6</v>
      </c>
      <c r="G27" s="23">
        <v>0</v>
      </c>
      <c r="H27" s="23">
        <f t="shared" si="0"/>
        <v>0</v>
      </c>
      <c r="I27" s="23">
        <f t="shared" si="1"/>
        <v>0</v>
      </c>
      <c r="J27" s="23">
        <f t="shared" si="2"/>
        <v>0</v>
      </c>
      <c r="K27" s="23">
        <v>5.0000000000000002E-5</v>
      </c>
      <c r="L27" s="24">
        <v>5.0000000000000002E-5</v>
      </c>
      <c r="Z27" s="23">
        <f t="shared" si="3"/>
        <v>0</v>
      </c>
      <c r="AB27" s="23">
        <f t="shared" si="4"/>
        <v>0</v>
      </c>
      <c r="AC27" s="23">
        <f t="shared" si="5"/>
        <v>0</v>
      </c>
      <c r="AD27" s="23">
        <f t="shared" si="6"/>
        <v>0</v>
      </c>
      <c r="AE27" s="23">
        <f t="shared" si="7"/>
        <v>0</v>
      </c>
      <c r="AF27" s="23">
        <f t="shared" si="8"/>
        <v>0</v>
      </c>
      <c r="AG27" s="23">
        <f t="shared" si="9"/>
        <v>0</v>
      </c>
      <c r="AH27" s="23">
        <f t="shared" si="10"/>
        <v>0</v>
      </c>
      <c r="AI27" s="8" t="s">
        <v>53</v>
      </c>
      <c r="AJ27" s="23">
        <f t="shared" si="11"/>
        <v>0</v>
      </c>
      <c r="AK27" s="23">
        <f t="shared" si="12"/>
        <v>0</v>
      </c>
      <c r="AL27" s="23">
        <f t="shared" si="13"/>
        <v>0</v>
      </c>
      <c r="AN27" s="23">
        <v>21</v>
      </c>
      <c r="AO27" s="23">
        <f>G27*0.690700935</f>
        <v>0</v>
      </c>
      <c r="AP27" s="23">
        <f>G27*(1-0.690700935)</f>
        <v>0</v>
      </c>
      <c r="AQ27" s="25" t="s">
        <v>94</v>
      </c>
      <c r="AV27" s="23">
        <f t="shared" si="14"/>
        <v>0</v>
      </c>
      <c r="AW27" s="23">
        <f t="shared" si="15"/>
        <v>0</v>
      </c>
      <c r="AX27" s="23">
        <f t="shared" si="16"/>
        <v>0</v>
      </c>
      <c r="AY27" s="25" t="s">
        <v>97</v>
      </c>
      <c r="AZ27" s="25" t="s">
        <v>98</v>
      </c>
      <c r="BA27" s="8" t="s">
        <v>62</v>
      </c>
      <c r="BC27" s="23">
        <f t="shared" si="17"/>
        <v>0</v>
      </c>
      <c r="BD27" s="23">
        <f t="shared" si="18"/>
        <v>0</v>
      </c>
      <c r="BE27" s="23">
        <v>0</v>
      </c>
      <c r="BF27" s="23">
        <f>27</f>
        <v>27</v>
      </c>
      <c r="BH27" s="23">
        <f t="shared" si="19"/>
        <v>0</v>
      </c>
      <c r="BI27" s="23">
        <f t="shared" si="20"/>
        <v>0</v>
      </c>
      <c r="BJ27" s="23">
        <f t="shared" si="21"/>
        <v>0</v>
      </c>
      <c r="BK27" s="23"/>
      <c r="BL27" s="23">
        <v>713</v>
      </c>
      <c r="BW27" s="23">
        <v>21</v>
      </c>
    </row>
    <row r="28" spans="1:75" ht="13.5" customHeight="1" x14ac:dyDescent="0.25">
      <c r="A28" s="2" t="s">
        <v>109</v>
      </c>
      <c r="B28" s="3" t="s">
        <v>110</v>
      </c>
      <c r="C28" s="80" t="s">
        <v>111</v>
      </c>
      <c r="D28" s="75"/>
      <c r="E28" s="3" t="s">
        <v>102</v>
      </c>
      <c r="F28" s="23">
        <v>6</v>
      </c>
      <c r="G28" s="23">
        <v>0</v>
      </c>
      <c r="H28" s="23">
        <f t="shared" si="0"/>
        <v>0</v>
      </c>
      <c r="I28" s="23">
        <f t="shared" si="1"/>
        <v>0</v>
      </c>
      <c r="J28" s="23">
        <f t="shared" si="2"/>
        <v>0</v>
      </c>
      <c r="K28" s="23">
        <v>4.0000000000000002E-4</v>
      </c>
      <c r="L28" s="24">
        <v>4.0000000000000002E-4</v>
      </c>
      <c r="Z28" s="23">
        <f t="shared" si="3"/>
        <v>0</v>
      </c>
      <c r="AB28" s="23">
        <f t="shared" si="4"/>
        <v>0</v>
      </c>
      <c r="AC28" s="23">
        <f t="shared" si="5"/>
        <v>0</v>
      </c>
      <c r="AD28" s="23">
        <f t="shared" si="6"/>
        <v>0</v>
      </c>
      <c r="AE28" s="23">
        <f t="shared" si="7"/>
        <v>0</v>
      </c>
      <c r="AF28" s="23">
        <f t="shared" si="8"/>
        <v>0</v>
      </c>
      <c r="AG28" s="23">
        <f t="shared" si="9"/>
        <v>0</v>
      </c>
      <c r="AH28" s="23">
        <f t="shared" si="10"/>
        <v>0</v>
      </c>
      <c r="AI28" s="8" t="s">
        <v>53</v>
      </c>
      <c r="AJ28" s="23">
        <f t="shared" si="11"/>
        <v>0</v>
      </c>
      <c r="AK28" s="23">
        <f t="shared" si="12"/>
        <v>0</v>
      </c>
      <c r="AL28" s="23">
        <f t="shared" si="13"/>
        <v>0</v>
      </c>
      <c r="AN28" s="23">
        <v>21</v>
      </c>
      <c r="AO28" s="23">
        <f>G28*0.344120603</f>
        <v>0</v>
      </c>
      <c r="AP28" s="23">
        <f>G28*(1-0.344120603)</f>
        <v>0</v>
      </c>
      <c r="AQ28" s="25" t="s">
        <v>94</v>
      </c>
      <c r="AV28" s="23">
        <f t="shared" si="14"/>
        <v>0</v>
      </c>
      <c r="AW28" s="23">
        <f t="shared" si="15"/>
        <v>0</v>
      </c>
      <c r="AX28" s="23">
        <f t="shared" si="16"/>
        <v>0</v>
      </c>
      <c r="AY28" s="25" t="s">
        <v>97</v>
      </c>
      <c r="AZ28" s="25" t="s">
        <v>98</v>
      </c>
      <c r="BA28" s="8" t="s">
        <v>62</v>
      </c>
      <c r="BC28" s="23">
        <f t="shared" si="17"/>
        <v>0</v>
      </c>
      <c r="BD28" s="23">
        <f t="shared" si="18"/>
        <v>0</v>
      </c>
      <c r="BE28" s="23">
        <v>0</v>
      </c>
      <c r="BF28" s="23">
        <f>28</f>
        <v>28</v>
      </c>
      <c r="BH28" s="23">
        <f t="shared" si="19"/>
        <v>0</v>
      </c>
      <c r="BI28" s="23">
        <f t="shared" si="20"/>
        <v>0</v>
      </c>
      <c r="BJ28" s="23">
        <f t="shared" si="21"/>
        <v>0</v>
      </c>
      <c r="BK28" s="23"/>
      <c r="BL28" s="23">
        <v>713</v>
      </c>
      <c r="BW28" s="23">
        <v>21</v>
      </c>
    </row>
    <row r="29" spans="1:75" ht="13.5" customHeight="1" x14ac:dyDescent="0.25">
      <c r="A29" s="2" t="s">
        <v>112</v>
      </c>
      <c r="B29" s="3" t="s">
        <v>107</v>
      </c>
      <c r="C29" s="80" t="s">
        <v>113</v>
      </c>
      <c r="D29" s="75"/>
      <c r="E29" s="3" t="s">
        <v>102</v>
      </c>
      <c r="F29" s="23">
        <v>6</v>
      </c>
      <c r="G29" s="23">
        <v>0</v>
      </c>
      <c r="H29" s="23">
        <f t="shared" si="0"/>
        <v>0</v>
      </c>
      <c r="I29" s="23">
        <f t="shared" si="1"/>
        <v>0</v>
      </c>
      <c r="J29" s="23">
        <f t="shared" si="2"/>
        <v>0</v>
      </c>
      <c r="K29" s="23">
        <v>5.0000000000000001E-4</v>
      </c>
      <c r="L29" s="24">
        <v>5.0000000000000001E-4</v>
      </c>
      <c r="Z29" s="23">
        <f t="shared" si="3"/>
        <v>0</v>
      </c>
      <c r="AB29" s="23">
        <f t="shared" si="4"/>
        <v>0</v>
      </c>
      <c r="AC29" s="23">
        <f t="shared" si="5"/>
        <v>0</v>
      </c>
      <c r="AD29" s="23">
        <f t="shared" si="6"/>
        <v>0</v>
      </c>
      <c r="AE29" s="23">
        <f t="shared" si="7"/>
        <v>0</v>
      </c>
      <c r="AF29" s="23">
        <f t="shared" si="8"/>
        <v>0</v>
      </c>
      <c r="AG29" s="23">
        <f t="shared" si="9"/>
        <v>0</v>
      </c>
      <c r="AH29" s="23">
        <f t="shared" si="10"/>
        <v>0</v>
      </c>
      <c r="AI29" s="8" t="s">
        <v>53</v>
      </c>
      <c r="AJ29" s="23">
        <f t="shared" si="11"/>
        <v>0</v>
      </c>
      <c r="AK29" s="23">
        <f t="shared" si="12"/>
        <v>0</v>
      </c>
      <c r="AL29" s="23">
        <f t="shared" si="13"/>
        <v>0</v>
      </c>
      <c r="AN29" s="23">
        <v>21</v>
      </c>
      <c r="AO29" s="23">
        <f>G29*0.690700935</f>
        <v>0</v>
      </c>
      <c r="AP29" s="23">
        <f>G29*(1-0.690700935)</f>
        <v>0</v>
      </c>
      <c r="AQ29" s="25" t="s">
        <v>94</v>
      </c>
      <c r="AV29" s="23">
        <f t="shared" si="14"/>
        <v>0</v>
      </c>
      <c r="AW29" s="23">
        <f t="shared" si="15"/>
        <v>0</v>
      </c>
      <c r="AX29" s="23">
        <f t="shared" si="16"/>
        <v>0</v>
      </c>
      <c r="AY29" s="25" t="s">
        <v>97</v>
      </c>
      <c r="AZ29" s="25" t="s">
        <v>98</v>
      </c>
      <c r="BA29" s="8" t="s">
        <v>62</v>
      </c>
      <c r="BC29" s="23">
        <f t="shared" si="17"/>
        <v>0</v>
      </c>
      <c r="BD29" s="23">
        <f t="shared" si="18"/>
        <v>0</v>
      </c>
      <c r="BE29" s="23">
        <v>0</v>
      </c>
      <c r="BF29" s="23">
        <f>29</f>
        <v>29</v>
      </c>
      <c r="BH29" s="23">
        <f t="shared" si="19"/>
        <v>0</v>
      </c>
      <c r="BI29" s="23">
        <f t="shared" si="20"/>
        <v>0</v>
      </c>
      <c r="BJ29" s="23">
        <f t="shared" si="21"/>
        <v>0</v>
      </c>
      <c r="BK29" s="23"/>
      <c r="BL29" s="23">
        <v>713</v>
      </c>
      <c r="BW29" s="23">
        <v>21</v>
      </c>
    </row>
    <row r="30" spans="1:75" ht="13.5" customHeight="1" x14ac:dyDescent="0.25">
      <c r="A30" s="2" t="s">
        <v>114</v>
      </c>
      <c r="B30" s="3" t="s">
        <v>115</v>
      </c>
      <c r="C30" s="80" t="s">
        <v>116</v>
      </c>
      <c r="D30" s="75"/>
      <c r="E30" s="3" t="s">
        <v>102</v>
      </c>
      <c r="F30" s="23">
        <v>2</v>
      </c>
      <c r="G30" s="23">
        <v>0</v>
      </c>
      <c r="H30" s="23">
        <f t="shared" si="0"/>
        <v>0</v>
      </c>
      <c r="I30" s="23">
        <f t="shared" si="1"/>
        <v>0</v>
      </c>
      <c r="J30" s="23">
        <f t="shared" si="2"/>
        <v>0</v>
      </c>
      <c r="K30" s="23">
        <v>4.0000000000000002E-4</v>
      </c>
      <c r="L30" s="24">
        <v>4.0000000000000002E-4</v>
      </c>
      <c r="Z30" s="23">
        <f t="shared" si="3"/>
        <v>0</v>
      </c>
      <c r="AB30" s="23">
        <f t="shared" si="4"/>
        <v>0</v>
      </c>
      <c r="AC30" s="23">
        <f t="shared" si="5"/>
        <v>0</v>
      </c>
      <c r="AD30" s="23">
        <f t="shared" si="6"/>
        <v>0</v>
      </c>
      <c r="AE30" s="23">
        <f t="shared" si="7"/>
        <v>0</v>
      </c>
      <c r="AF30" s="23">
        <f t="shared" si="8"/>
        <v>0</v>
      </c>
      <c r="AG30" s="23">
        <f t="shared" si="9"/>
        <v>0</v>
      </c>
      <c r="AH30" s="23">
        <f t="shared" si="10"/>
        <v>0</v>
      </c>
      <c r="AI30" s="8" t="s">
        <v>53</v>
      </c>
      <c r="AJ30" s="23">
        <f t="shared" si="11"/>
        <v>0</v>
      </c>
      <c r="AK30" s="23">
        <f t="shared" si="12"/>
        <v>0</v>
      </c>
      <c r="AL30" s="23">
        <f t="shared" si="13"/>
        <v>0</v>
      </c>
      <c r="AN30" s="23">
        <v>21</v>
      </c>
      <c r="AO30" s="23">
        <f>G30*0.675013699</f>
        <v>0</v>
      </c>
      <c r="AP30" s="23">
        <f>G30*(1-0.675013699)</f>
        <v>0</v>
      </c>
      <c r="AQ30" s="25" t="s">
        <v>94</v>
      </c>
      <c r="AV30" s="23">
        <f t="shared" si="14"/>
        <v>0</v>
      </c>
      <c r="AW30" s="23">
        <f t="shared" si="15"/>
        <v>0</v>
      </c>
      <c r="AX30" s="23">
        <f t="shared" si="16"/>
        <v>0</v>
      </c>
      <c r="AY30" s="25" t="s">
        <v>97</v>
      </c>
      <c r="AZ30" s="25" t="s">
        <v>98</v>
      </c>
      <c r="BA30" s="8" t="s">
        <v>62</v>
      </c>
      <c r="BC30" s="23">
        <f t="shared" si="17"/>
        <v>0</v>
      </c>
      <c r="BD30" s="23">
        <f t="shared" si="18"/>
        <v>0</v>
      </c>
      <c r="BE30" s="23">
        <v>0</v>
      </c>
      <c r="BF30" s="23">
        <f>30</f>
        <v>30</v>
      </c>
      <c r="BH30" s="23">
        <f t="shared" si="19"/>
        <v>0</v>
      </c>
      <c r="BI30" s="23">
        <f t="shared" si="20"/>
        <v>0</v>
      </c>
      <c r="BJ30" s="23">
        <f t="shared" si="21"/>
        <v>0</v>
      </c>
      <c r="BK30" s="23"/>
      <c r="BL30" s="23">
        <v>713</v>
      </c>
      <c r="BW30" s="23">
        <v>21</v>
      </c>
    </row>
    <row r="31" spans="1:75" x14ac:dyDescent="0.25">
      <c r="A31" s="26" t="s">
        <v>53</v>
      </c>
      <c r="B31" s="27" t="s">
        <v>117</v>
      </c>
      <c r="C31" s="98" t="s">
        <v>118</v>
      </c>
      <c r="D31" s="99"/>
      <c r="E31" s="28" t="s">
        <v>10</v>
      </c>
      <c r="F31" s="28" t="s">
        <v>10</v>
      </c>
      <c r="G31" s="28" t="s">
        <v>10</v>
      </c>
      <c r="H31" s="1">
        <f>SUM(H32:H35)</f>
        <v>0</v>
      </c>
      <c r="I31" s="1">
        <f>SUM(I32:I35)</f>
        <v>0</v>
      </c>
      <c r="J31" s="1">
        <f>SUM(J32:J35)</f>
        <v>0</v>
      </c>
      <c r="K31" s="8" t="s">
        <v>53</v>
      </c>
      <c r="L31" s="29" t="s">
        <v>53</v>
      </c>
      <c r="AI31" s="8" t="s">
        <v>53</v>
      </c>
      <c r="AS31" s="1">
        <f>SUM(AJ32:AJ35)</f>
        <v>0</v>
      </c>
      <c r="AT31" s="1">
        <f>SUM(AK32:AK35)</f>
        <v>0</v>
      </c>
      <c r="AU31" s="1">
        <f>SUM(AL32:AL35)</f>
        <v>0</v>
      </c>
    </row>
    <row r="32" spans="1:75" ht="13.5" customHeight="1" x14ac:dyDescent="0.25">
      <c r="A32" s="2" t="s">
        <v>119</v>
      </c>
      <c r="B32" s="3" t="s">
        <v>120</v>
      </c>
      <c r="C32" s="80" t="s">
        <v>121</v>
      </c>
      <c r="D32" s="75"/>
      <c r="E32" s="3" t="s">
        <v>68</v>
      </c>
      <c r="F32" s="23">
        <v>10</v>
      </c>
      <c r="G32" s="23">
        <v>0</v>
      </c>
      <c r="H32" s="23">
        <f>F32*AO32</f>
        <v>0</v>
      </c>
      <c r="I32" s="23">
        <f>F32*AP32</f>
        <v>0</v>
      </c>
      <c r="J32" s="23">
        <f>F32*G32</f>
        <v>0</v>
      </c>
      <c r="K32" s="23">
        <v>5.0000000000000001E-4</v>
      </c>
      <c r="L32" s="24">
        <v>5.0000000000000001E-4</v>
      </c>
      <c r="Z32" s="23">
        <f>IF(AQ32="5",BJ32,0)</f>
        <v>0</v>
      </c>
      <c r="AB32" s="23">
        <f>IF(AQ32="1",BH32,0)</f>
        <v>0</v>
      </c>
      <c r="AC32" s="23">
        <f>IF(AQ32="1",BI32,0)</f>
        <v>0</v>
      </c>
      <c r="AD32" s="23">
        <f>IF(AQ32="7",BH32,0)</f>
        <v>0</v>
      </c>
      <c r="AE32" s="23">
        <f>IF(AQ32="7",BI32,0)</f>
        <v>0</v>
      </c>
      <c r="AF32" s="23">
        <f>IF(AQ32="2",BH32,0)</f>
        <v>0</v>
      </c>
      <c r="AG32" s="23">
        <f>IF(AQ32="2",BI32,0)</f>
        <v>0</v>
      </c>
      <c r="AH32" s="23">
        <f>IF(AQ32="0",BJ32,0)</f>
        <v>0</v>
      </c>
      <c r="AI32" s="8" t="s">
        <v>53</v>
      </c>
      <c r="AJ32" s="23">
        <f>IF(AN32=0,J32,0)</f>
        <v>0</v>
      </c>
      <c r="AK32" s="23">
        <f>IF(AN32=12,J32,0)</f>
        <v>0</v>
      </c>
      <c r="AL32" s="23">
        <f>IF(AN32=21,J32,0)</f>
        <v>0</v>
      </c>
      <c r="AN32" s="23">
        <v>21</v>
      </c>
      <c r="AO32" s="23">
        <f>G32*0.505287897</f>
        <v>0</v>
      </c>
      <c r="AP32" s="23">
        <f>G32*(1-0.505287897)</f>
        <v>0</v>
      </c>
      <c r="AQ32" s="25" t="s">
        <v>94</v>
      </c>
      <c r="AV32" s="23">
        <f>AW32+AX32</f>
        <v>0</v>
      </c>
      <c r="AW32" s="23">
        <f>F32*AO32</f>
        <v>0</v>
      </c>
      <c r="AX32" s="23">
        <f>F32*AP32</f>
        <v>0</v>
      </c>
      <c r="AY32" s="25" t="s">
        <v>122</v>
      </c>
      <c r="AZ32" s="25" t="s">
        <v>123</v>
      </c>
      <c r="BA32" s="8" t="s">
        <v>62</v>
      </c>
      <c r="BC32" s="23">
        <f>AW32+AX32</f>
        <v>0</v>
      </c>
      <c r="BD32" s="23">
        <f>G32/(100-BE32)*100</f>
        <v>0</v>
      </c>
      <c r="BE32" s="23">
        <v>0</v>
      </c>
      <c r="BF32" s="23">
        <f>32</f>
        <v>32</v>
      </c>
      <c r="BH32" s="23">
        <f>F32*AO32</f>
        <v>0</v>
      </c>
      <c r="BI32" s="23">
        <f>F32*AP32</f>
        <v>0</v>
      </c>
      <c r="BJ32" s="23">
        <f>F32*G32</f>
        <v>0</v>
      </c>
      <c r="BK32" s="23"/>
      <c r="BL32" s="23">
        <v>721</v>
      </c>
      <c r="BW32" s="23">
        <v>21</v>
      </c>
    </row>
    <row r="33" spans="1:75" ht="27" customHeight="1" x14ac:dyDescent="0.25">
      <c r="A33" s="2" t="s">
        <v>124</v>
      </c>
      <c r="B33" s="3" t="s">
        <v>125</v>
      </c>
      <c r="C33" s="80" t="s">
        <v>126</v>
      </c>
      <c r="D33" s="75"/>
      <c r="E33" s="3" t="s">
        <v>102</v>
      </c>
      <c r="F33" s="23">
        <v>6</v>
      </c>
      <c r="G33" s="23">
        <v>0</v>
      </c>
      <c r="H33" s="23">
        <f>F33*AO33</f>
        <v>0</v>
      </c>
      <c r="I33" s="23">
        <f>F33*AP33</f>
        <v>0</v>
      </c>
      <c r="J33" s="23">
        <f>F33*G33</f>
        <v>0</v>
      </c>
      <c r="K33" s="23">
        <v>3.8000000000000002E-4</v>
      </c>
      <c r="L33" s="24">
        <v>3.8000000000000002E-4</v>
      </c>
      <c r="Z33" s="23">
        <f>IF(AQ33="5",BJ33,0)</f>
        <v>0</v>
      </c>
      <c r="AB33" s="23">
        <f>IF(AQ33="1",BH33,0)</f>
        <v>0</v>
      </c>
      <c r="AC33" s="23">
        <f>IF(AQ33="1",BI33,0)</f>
        <v>0</v>
      </c>
      <c r="AD33" s="23">
        <f>IF(AQ33="7",BH33,0)</f>
        <v>0</v>
      </c>
      <c r="AE33" s="23">
        <f>IF(AQ33="7",BI33,0)</f>
        <v>0</v>
      </c>
      <c r="AF33" s="23">
        <f>IF(AQ33="2",BH33,0)</f>
        <v>0</v>
      </c>
      <c r="AG33" s="23">
        <f>IF(AQ33="2",BI33,0)</f>
        <v>0</v>
      </c>
      <c r="AH33" s="23">
        <f>IF(AQ33="0",BJ33,0)</f>
        <v>0</v>
      </c>
      <c r="AI33" s="8" t="s">
        <v>53</v>
      </c>
      <c r="AJ33" s="23">
        <f>IF(AN33=0,J33,0)</f>
        <v>0</v>
      </c>
      <c r="AK33" s="23">
        <f>IF(AN33=12,J33,0)</f>
        <v>0</v>
      </c>
      <c r="AL33" s="23">
        <f>IF(AN33=21,J33,0)</f>
        <v>0</v>
      </c>
      <c r="AN33" s="23">
        <v>21</v>
      </c>
      <c r="AO33" s="23">
        <f>G33*0.308387097</f>
        <v>0</v>
      </c>
      <c r="AP33" s="23">
        <f>G33*(1-0.308387097)</f>
        <v>0</v>
      </c>
      <c r="AQ33" s="25" t="s">
        <v>94</v>
      </c>
      <c r="AV33" s="23">
        <f>AW33+AX33</f>
        <v>0</v>
      </c>
      <c r="AW33" s="23">
        <f>F33*AO33</f>
        <v>0</v>
      </c>
      <c r="AX33" s="23">
        <f>F33*AP33</f>
        <v>0</v>
      </c>
      <c r="AY33" s="25" t="s">
        <v>122</v>
      </c>
      <c r="AZ33" s="25" t="s">
        <v>123</v>
      </c>
      <c r="BA33" s="8" t="s">
        <v>62</v>
      </c>
      <c r="BC33" s="23">
        <f>AW33+AX33</f>
        <v>0</v>
      </c>
      <c r="BD33" s="23">
        <f>G33/(100-BE33)*100</f>
        <v>0</v>
      </c>
      <c r="BE33" s="23">
        <v>0</v>
      </c>
      <c r="BF33" s="23">
        <f>33</f>
        <v>33</v>
      </c>
      <c r="BH33" s="23">
        <f>F33*AO33</f>
        <v>0</v>
      </c>
      <c r="BI33" s="23">
        <f>F33*AP33</f>
        <v>0</v>
      </c>
      <c r="BJ33" s="23">
        <f>F33*G33</f>
        <v>0</v>
      </c>
      <c r="BK33" s="23"/>
      <c r="BL33" s="23">
        <v>721</v>
      </c>
      <c r="BW33" s="23">
        <v>21</v>
      </c>
    </row>
    <row r="34" spans="1:75" ht="27" customHeight="1" x14ac:dyDescent="0.25">
      <c r="A34" s="2" t="s">
        <v>127</v>
      </c>
      <c r="B34" s="3" t="s">
        <v>125</v>
      </c>
      <c r="C34" s="80" t="s">
        <v>128</v>
      </c>
      <c r="D34" s="75"/>
      <c r="E34" s="3" t="s">
        <v>102</v>
      </c>
      <c r="F34" s="23">
        <v>2</v>
      </c>
      <c r="G34" s="23">
        <v>0</v>
      </c>
      <c r="H34" s="23">
        <f>F34*AO34</f>
        <v>0</v>
      </c>
      <c r="I34" s="23">
        <f>F34*AP34</f>
        <v>0</v>
      </c>
      <c r="J34" s="23">
        <f>F34*G34</f>
        <v>0</v>
      </c>
      <c r="K34" s="23">
        <v>3.8000000000000002E-4</v>
      </c>
      <c r="L34" s="24">
        <v>3.8000000000000002E-4</v>
      </c>
      <c r="Z34" s="23">
        <f>IF(AQ34="5",BJ34,0)</f>
        <v>0</v>
      </c>
      <c r="AB34" s="23">
        <f>IF(AQ34="1",BH34,0)</f>
        <v>0</v>
      </c>
      <c r="AC34" s="23">
        <f>IF(AQ34="1",BI34,0)</f>
        <v>0</v>
      </c>
      <c r="AD34" s="23">
        <f>IF(AQ34="7",BH34,0)</f>
        <v>0</v>
      </c>
      <c r="AE34" s="23">
        <f>IF(AQ34="7",BI34,0)</f>
        <v>0</v>
      </c>
      <c r="AF34" s="23">
        <f>IF(AQ34="2",BH34,0)</f>
        <v>0</v>
      </c>
      <c r="AG34" s="23">
        <f>IF(AQ34="2",BI34,0)</f>
        <v>0</v>
      </c>
      <c r="AH34" s="23">
        <f>IF(AQ34="0",BJ34,0)</f>
        <v>0</v>
      </c>
      <c r="AI34" s="8" t="s">
        <v>53</v>
      </c>
      <c r="AJ34" s="23">
        <f>IF(AN34=0,J34,0)</f>
        <v>0</v>
      </c>
      <c r="AK34" s="23">
        <f>IF(AN34=12,J34,0)</f>
        <v>0</v>
      </c>
      <c r="AL34" s="23">
        <f>IF(AN34=21,J34,0)</f>
        <v>0</v>
      </c>
      <c r="AN34" s="23">
        <v>21</v>
      </c>
      <c r="AO34" s="23">
        <f>G34*0.294573643</f>
        <v>0</v>
      </c>
      <c r="AP34" s="23">
        <f>G34*(1-0.294573643)</f>
        <v>0</v>
      </c>
      <c r="AQ34" s="25" t="s">
        <v>94</v>
      </c>
      <c r="AV34" s="23">
        <f>AW34+AX34</f>
        <v>0</v>
      </c>
      <c r="AW34" s="23">
        <f>F34*AO34</f>
        <v>0</v>
      </c>
      <c r="AX34" s="23">
        <f>F34*AP34</f>
        <v>0</v>
      </c>
      <c r="AY34" s="25" t="s">
        <v>122</v>
      </c>
      <c r="AZ34" s="25" t="s">
        <v>123</v>
      </c>
      <c r="BA34" s="8" t="s">
        <v>62</v>
      </c>
      <c r="BC34" s="23">
        <f>AW34+AX34</f>
        <v>0</v>
      </c>
      <c r="BD34" s="23">
        <f>G34/(100-BE34)*100</f>
        <v>0</v>
      </c>
      <c r="BE34" s="23">
        <v>0</v>
      </c>
      <c r="BF34" s="23">
        <f>34</f>
        <v>34</v>
      </c>
      <c r="BH34" s="23">
        <f>F34*AO34</f>
        <v>0</v>
      </c>
      <c r="BI34" s="23">
        <f>F34*AP34</f>
        <v>0</v>
      </c>
      <c r="BJ34" s="23">
        <f>F34*G34</f>
        <v>0</v>
      </c>
      <c r="BK34" s="23"/>
      <c r="BL34" s="23">
        <v>721</v>
      </c>
      <c r="BW34" s="23">
        <v>21</v>
      </c>
    </row>
    <row r="35" spans="1:75" ht="13.5" customHeight="1" x14ac:dyDescent="0.25">
      <c r="A35" s="2" t="s">
        <v>129</v>
      </c>
      <c r="B35" s="3" t="s">
        <v>130</v>
      </c>
      <c r="C35" s="80" t="s">
        <v>131</v>
      </c>
      <c r="D35" s="75"/>
      <c r="E35" s="3" t="s">
        <v>102</v>
      </c>
      <c r="F35" s="23">
        <v>8</v>
      </c>
      <c r="G35" s="23">
        <v>0</v>
      </c>
      <c r="H35" s="23">
        <f>F35*AO35</f>
        <v>0</v>
      </c>
      <c r="I35" s="23">
        <f>F35*AP35</f>
        <v>0</v>
      </c>
      <c r="J35" s="23">
        <f>F35*G35</f>
        <v>0</v>
      </c>
      <c r="K35" s="23">
        <v>5.7299999999999999E-3</v>
      </c>
      <c r="L35" s="24">
        <v>5.7299999999999999E-3</v>
      </c>
      <c r="Z35" s="23">
        <f>IF(AQ35="5",BJ35,0)</f>
        <v>0</v>
      </c>
      <c r="AB35" s="23">
        <f>IF(AQ35="1",BH35,0)</f>
        <v>0</v>
      </c>
      <c r="AC35" s="23">
        <f>IF(AQ35="1",BI35,0)</f>
        <v>0</v>
      </c>
      <c r="AD35" s="23">
        <f>IF(AQ35="7",BH35,0)</f>
        <v>0</v>
      </c>
      <c r="AE35" s="23">
        <f>IF(AQ35="7",BI35,0)</f>
        <v>0</v>
      </c>
      <c r="AF35" s="23">
        <f>IF(AQ35="2",BH35,0)</f>
        <v>0</v>
      </c>
      <c r="AG35" s="23">
        <f>IF(AQ35="2",BI35,0)</f>
        <v>0</v>
      </c>
      <c r="AH35" s="23">
        <f>IF(AQ35="0",BJ35,0)</f>
        <v>0</v>
      </c>
      <c r="AI35" s="8" t="s">
        <v>53</v>
      </c>
      <c r="AJ35" s="23">
        <f>IF(AN35=0,J35,0)</f>
        <v>0</v>
      </c>
      <c r="AK35" s="23">
        <f>IF(AN35=12,J35,0)</f>
        <v>0</v>
      </c>
      <c r="AL35" s="23">
        <f>IF(AN35=21,J35,0)</f>
        <v>0</v>
      </c>
      <c r="AN35" s="23">
        <v>21</v>
      </c>
      <c r="AO35" s="23">
        <f>G35*0.528659794</f>
        <v>0</v>
      </c>
      <c r="AP35" s="23">
        <f>G35*(1-0.528659794)</f>
        <v>0</v>
      </c>
      <c r="AQ35" s="25" t="s">
        <v>94</v>
      </c>
      <c r="AV35" s="23">
        <f>AW35+AX35</f>
        <v>0</v>
      </c>
      <c r="AW35" s="23">
        <f>F35*AO35</f>
        <v>0</v>
      </c>
      <c r="AX35" s="23">
        <f>F35*AP35</f>
        <v>0</v>
      </c>
      <c r="AY35" s="25" t="s">
        <v>122</v>
      </c>
      <c r="AZ35" s="25" t="s">
        <v>123</v>
      </c>
      <c r="BA35" s="8" t="s">
        <v>62</v>
      </c>
      <c r="BC35" s="23">
        <f>AW35+AX35</f>
        <v>0</v>
      </c>
      <c r="BD35" s="23">
        <f>G35/(100-BE35)*100</f>
        <v>0</v>
      </c>
      <c r="BE35" s="23">
        <v>0</v>
      </c>
      <c r="BF35" s="23">
        <f>35</f>
        <v>35</v>
      </c>
      <c r="BH35" s="23">
        <f>F35*AO35</f>
        <v>0</v>
      </c>
      <c r="BI35" s="23">
        <f>F35*AP35</f>
        <v>0</v>
      </c>
      <c r="BJ35" s="23">
        <f>F35*G35</f>
        <v>0</v>
      </c>
      <c r="BK35" s="23"/>
      <c r="BL35" s="23">
        <v>721</v>
      </c>
      <c r="BW35" s="23">
        <v>21</v>
      </c>
    </row>
    <row r="36" spans="1:75" x14ac:dyDescent="0.25">
      <c r="A36" s="26" t="s">
        <v>53</v>
      </c>
      <c r="B36" s="27" t="s">
        <v>132</v>
      </c>
      <c r="C36" s="98" t="s">
        <v>133</v>
      </c>
      <c r="D36" s="99"/>
      <c r="E36" s="28" t="s">
        <v>10</v>
      </c>
      <c r="F36" s="28" t="s">
        <v>10</v>
      </c>
      <c r="G36" s="28" t="s">
        <v>10</v>
      </c>
      <c r="H36" s="1">
        <f>SUM(H37:H63)</f>
        <v>0</v>
      </c>
      <c r="I36" s="1">
        <f>SUM(I37:I63)</f>
        <v>0</v>
      </c>
      <c r="J36" s="1">
        <f>SUM(J37:J63)</f>
        <v>0</v>
      </c>
      <c r="K36" s="8" t="s">
        <v>53</v>
      </c>
      <c r="L36" s="29" t="s">
        <v>53</v>
      </c>
      <c r="AI36" s="8" t="s">
        <v>53</v>
      </c>
      <c r="AS36" s="1">
        <f>SUM(AJ37:AJ63)</f>
        <v>0</v>
      </c>
      <c r="AT36" s="1">
        <f>SUM(AK37:AK63)</f>
        <v>0</v>
      </c>
      <c r="AU36" s="1">
        <f>SUM(AL37:AL63)</f>
        <v>0</v>
      </c>
    </row>
    <row r="37" spans="1:75" ht="13.5" customHeight="1" x14ac:dyDescent="0.25">
      <c r="A37" s="2" t="s">
        <v>134</v>
      </c>
      <c r="B37" s="3" t="s">
        <v>135</v>
      </c>
      <c r="C37" s="80" t="s">
        <v>136</v>
      </c>
      <c r="D37" s="75"/>
      <c r="E37" s="3" t="s">
        <v>68</v>
      </c>
      <c r="F37" s="23">
        <v>1</v>
      </c>
      <c r="G37" s="23">
        <v>0</v>
      </c>
      <c r="H37" s="23">
        <f t="shared" ref="H37:H63" si="22">F37*AO37</f>
        <v>0</v>
      </c>
      <c r="I37" s="23">
        <f t="shared" ref="I37:I63" si="23">F37*AP37</f>
        <v>0</v>
      </c>
      <c r="J37" s="23">
        <f t="shared" ref="J37:J63" si="24">F37*G37</f>
        <v>0</v>
      </c>
      <c r="K37" s="23">
        <v>1.6999999999999999E-3</v>
      </c>
      <c r="L37" s="24">
        <v>1.6999999999999999E-3</v>
      </c>
      <c r="Z37" s="23">
        <f t="shared" ref="Z37:Z63" si="25">IF(AQ37="5",BJ37,0)</f>
        <v>0</v>
      </c>
      <c r="AB37" s="23">
        <f t="shared" ref="AB37:AB63" si="26">IF(AQ37="1",BH37,0)</f>
        <v>0</v>
      </c>
      <c r="AC37" s="23">
        <f t="shared" ref="AC37:AC63" si="27">IF(AQ37="1",BI37,0)</f>
        <v>0</v>
      </c>
      <c r="AD37" s="23">
        <f t="shared" ref="AD37:AD63" si="28">IF(AQ37="7",BH37,0)</f>
        <v>0</v>
      </c>
      <c r="AE37" s="23">
        <f t="shared" ref="AE37:AE63" si="29">IF(AQ37="7",BI37,0)</f>
        <v>0</v>
      </c>
      <c r="AF37" s="23">
        <f t="shared" ref="AF37:AF63" si="30">IF(AQ37="2",BH37,0)</f>
        <v>0</v>
      </c>
      <c r="AG37" s="23">
        <f t="shared" ref="AG37:AG63" si="31">IF(AQ37="2",BI37,0)</f>
        <v>0</v>
      </c>
      <c r="AH37" s="23">
        <f t="shared" ref="AH37:AH63" si="32">IF(AQ37="0",BJ37,0)</f>
        <v>0</v>
      </c>
      <c r="AI37" s="8" t="s">
        <v>53</v>
      </c>
      <c r="AJ37" s="23">
        <f t="shared" ref="AJ37:AJ63" si="33">IF(AN37=0,J37,0)</f>
        <v>0</v>
      </c>
      <c r="AK37" s="23">
        <f t="shared" ref="AK37:AK63" si="34">IF(AN37=12,J37,0)</f>
        <v>0</v>
      </c>
      <c r="AL37" s="23">
        <f t="shared" ref="AL37:AL63" si="35">IF(AN37=21,J37,0)</f>
        <v>0</v>
      </c>
      <c r="AN37" s="23">
        <v>21</v>
      </c>
      <c r="AO37" s="23">
        <f>G37*0.984693072</f>
        <v>0</v>
      </c>
      <c r="AP37" s="23">
        <f>G37*(1-0.984693072)</f>
        <v>0</v>
      </c>
      <c r="AQ37" s="25" t="s">
        <v>94</v>
      </c>
      <c r="AV37" s="23">
        <f t="shared" ref="AV37:AV63" si="36">AW37+AX37</f>
        <v>0</v>
      </c>
      <c r="AW37" s="23">
        <f t="shared" ref="AW37:AW63" si="37">F37*AO37</f>
        <v>0</v>
      </c>
      <c r="AX37" s="23">
        <f t="shared" ref="AX37:AX63" si="38">F37*AP37</f>
        <v>0</v>
      </c>
      <c r="AY37" s="25" t="s">
        <v>137</v>
      </c>
      <c r="AZ37" s="25" t="s">
        <v>123</v>
      </c>
      <c r="BA37" s="8" t="s">
        <v>62</v>
      </c>
      <c r="BC37" s="23">
        <f t="shared" ref="BC37:BC63" si="39">AW37+AX37</f>
        <v>0</v>
      </c>
      <c r="BD37" s="23">
        <f t="shared" ref="BD37:BD63" si="40">G37/(100-BE37)*100</f>
        <v>0</v>
      </c>
      <c r="BE37" s="23">
        <v>0</v>
      </c>
      <c r="BF37" s="23">
        <f>37</f>
        <v>37</v>
      </c>
      <c r="BH37" s="23">
        <f t="shared" ref="BH37:BH63" si="41">F37*AO37</f>
        <v>0</v>
      </c>
      <c r="BI37" s="23">
        <f t="shared" ref="BI37:BI63" si="42">F37*AP37</f>
        <v>0</v>
      </c>
      <c r="BJ37" s="23">
        <f t="shared" ref="BJ37:BJ63" si="43">F37*G37</f>
        <v>0</v>
      </c>
      <c r="BK37" s="23"/>
      <c r="BL37" s="23">
        <v>722</v>
      </c>
      <c r="BW37" s="23">
        <v>21</v>
      </c>
    </row>
    <row r="38" spans="1:75" ht="13.5" customHeight="1" x14ac:dyDescent="0.25">
      <c r="A38" s="2" t="s">
        <v>138</v>
      </c>
      <c r="B38" s="3" t="s">
        <v>139</v>
      </c>
      <c r="C38" s="80" t="s">
        <v>140</v>
      </c>
      <c r="D38" s="75"/>
      <c r="E38" s="3" t="s">
        <v>68</v>
      </c>
      <c r="F38" s="23">
        <v>1</v>
      </c>
      <c r="G38" s="23">
        <v>0</v>
      </c>
      <c r="H38" s="23">
        <f t="shared" si="22"/>
        <v>0</v>
      </c>
      <c r="I38" s="23">
        <f t="shared" si="23"/>
        <v>0</v>
      </c>
      <c r="J38" s="23">
        <f t="shared" si="24"/>
        <v>0</v>
      </c>
      <c r="K38" s="23">
        <v>6.9899999999999997E-3</v>
      </c>
      <c r="L38" s="24">
        <v>6.9899999999999997E-3</v>
      </c>
      <c r="Z38" s="23">
        <f t="shared" si="25"/>
        <v>0</v>
      </c>
      <c r="AB38" s="23">
        <f t="shared" si="26"/>
        <v>0</v>
      </c>
      <c r="AC38" s="23">
        <f t="shared" si="27"/>
        <v>0</v>
      </c>
      <c r="AD38" s="23">
        <f t="shared" si="28"/>
        <v>0</v>
      </c>
      <c r="AE38" s="23">
        <f t="shared" si="29"/>
        <v>0</v>
      </c>
      <c r="AF38" s="23">
        <f t="shared" si="30"/>
        <v>0</v>
      </c>
      <c r="AG38" s="23">
        <f t="shared" si="31"/>
        <v>0</v>
      </c>
      <c r="AH38" s="23">
        <f t="shared" si="32"/>
        <v>0</v>
      </c>
      <c r="AI38" s="8" t="s">
        <v>53</v>
      </c>
      <c r="AJ38" s="23">
        <f t="shared" si="33"/>
        <v>0</v>
      </c>
      <c r="AK38" s="23">
        <f t="shared" si="34"/>
        <v>0</v>
      </c>
      <c r="AL38" s="23">
        <f t="shared" si="35"/>
        <v>0</v>
      </c>
      <c r="AN38" s="23">
        <v>21</v>
      </c>
      <c r="AO38" s="23">
        <f>G38*0.655080214</f>
        <v>0</v>
      </c>
      <c r="AP38" s="23">
        <f>G38*(1-0.655080214)</f>
        <v>0</v>
      </c>
      <c r="AQ38" s="25" t="s">
        <v>94</v>
      </c>
      <c r="AV38" s="23">
        <f t="shared" si="36"/>
        <v>0</v>
      </c>
      <c r="AW38" s="23">
        <f t="shared" si="37"/>
        <v>0</v>
      </c>
      <c r="AX38" s="23">
        <f t="shared" si="38"/>
        <v>0</v>
      </c>
      <c r="AY38" s="25" t="s">
        <v>137</v>
      </c>
      <c r="AZ38" s="25" t="s">
        <v>123</v>
      </c>
      <c r="BA38" s="8" t="s">
        <v>62</v>
      </c>
      <c r="BC38" s="23">
        <f t="shared" si="39"/>
        <v>0</v>
      </c>
      <c r="BD38" s="23">
        <f t="shared" si="40"/>
        <v>0</v>
      </c>
      <c r="BE38" s="23">
        <v>0</v>
      </c>
      <c r="BF38" s="23">
        <f>38</f>
        <v>38</v>
      </c>
      <c r="BH38" s="23">
        <f t="shared" si="41"/>
        <v>0</v>
      </c>
      <c r="BI38" s="23">
        <f t="shared" si="42"/>
        <v>0</v>
      </c>
      <c r="BJ38" s="23">
        <f t="shared" si="43"/>
        <v>0</v>
      </c>
      <c r="BK38" s="23"/>
      <c r="BL38" s="23">
        <v>722</v>
      </c>
      <c r="BW38" s="23">
        <v>21</v>
      </c>
    </row>
    <row r="39" spans="1:75" ht="13.5" customHeight="1" x14ac:dyDescent="0.25">
      <c r="A39" s="2" t="s">
        <v>141</v>
      </c>
      <c r="B39" s="3" t="s">
        <v>142</v>
      </c>
      <c r="C39" s="80" t="s">
        <v>143</v>
      </c>
      <c r="D39" s="75"/>
      <c r="E39" s="3" t="s">
        <v>68</v>
      </c>
      <c r="F39" s="23">
        <v>1</v>
      </c>
      <c r="G39" s="23">
        <v>0</v>
      </c>
      <c r="H39" s="23">
        <f t="shared" si="22"/>
        <v>0</v>
      </c>
      <c r="I39" s="23">
        <f t="shared" si="23"/>
        <v>0</v>
      </c>
      <c r="J39" s="23">
        <f t="shared" si="24"/>
        <v>0</v>
      </c>
      <c r="K39" s="23">
        <v>8.2400000000000008E-3</v>
      </c>
      <c r="L39" s="24">
        <v>8.2400000000000008E-3</v>
      </c>
      <c r="Z39" s="23">
        <f t="shared" si="25"/>
        <v>0</v>
      </c>
      <c r="AB39" s="23">
        <f t="shared" si="26"/>
        <v>0</v>
      </c>
      <c r="AC39" s="23">
        <f t="shared" si="27"/>
        <v>0</v>
      </c>
      <c r="AD39" s="23">
        <f t="shared" si="28"/>
        <v>0</v>
      </c>
      <c r="AE39" s="23">
        <f t="shared" si="29"/>
        <v>0</v>
      </c>
      <c r="AF39" s="23">
        <f t="shared" si="30"/>
        <v>0</v>
      </c>
      <c r="AG39" s="23">
        <f t="shared" si="31"/>
        <v>0</v>
      </c>
      <c r="AH39" s="23">
        <f t="shared" si="32"/>
        <v>0</v>
      </c>
      <c r="AI39" s="8" t="s">
        <v>53</v>
      </c>
      <c r="AJ39" s="23">
        <f t="shared" si="33"/>
        <v>0</v>
      </c>
      <c r="AK39" s="23">
        <f t="shared" si="34"/>
        <v>0</v>
      </c>
      <c r="AL39" s="23">
        <f t="shared" si="35"/>
        <v>0</v>
      </c>
      <c r="AN39" s="23">
        <v>21</v>
      </c>
      <c r="AO39" s="23">
        <f>G39*0.382462121</f>
        <v>0</v>
      </c>
      <c r="AP39" s="23">
        <f>G39*(1-0.382462121)</f>
        <v>0</v>
      </c>
      <c r="AQ39" s="25" t="s">
        <v>94</v>
      </c>
      <c r="AV39" s="23">
        <f t="shared" si="36"/>
        <v>0</v>
      </c>
      <c r="AW39" s="23">
        <f t="shared" si="37"/>
        <v>0</v>
      </c>
      <c r="AX39" s="23">
        <f t="shared" si="38"/>
        <v>0</v>
      </c>
      <c r="AY39" s="25" t="s">
        <v>137</v>
      </c>
      <c r="AZ39" s="25" t="s">
        <v>123</v>
      </c>
      <c r="BA39" s="8" t="s">
        <v>62</v>
      </c>
      <c r="BC39" s="23">
        <f t="shared" si="39"/>
        <v>0</v>
      </c>
      <c r="BD39" s="23">
        <f t="shared" si="40"/>
        <v>0</v>
      </c>
      <c r="BE39" s="23">
        <v>0</v>
      </c>
      <c r="BF39" s="23">
        <f>39</f>
        <v>39</v>
      </c>
      <c r="BH39" s="23">
        <f t="shared" si="41"/>
        <v>0</v>
      </c>
      <c r="BI39" s="23">
        <f t="shared" si="42"/>
        <v>0</v>
      </c>
      <c r="BJ39" s="23">
        <f t="shared" si="43"/>
        <v>0</v>
      </c>
      <c r="BK39" s="23"/>
      <c r="BL39" s="23">
        <v>722</v>
      </c>
      <c r="BW39" s="23">
        <v>21</v>
      </c>
    </row>
    <row r="40" spans="1:75" ht="13.5" customHeight="1" x14ac:dyDescent="0.25">
      <c r="A40" s="2" t="s">
        <v>144</v>
      </c>
      <c r="B40" s="3" t="s">
        <v>145</v>
      </c>
      <c r="C40" s="80" t="s">
        <v>146</v>
      </c>
      <c r="D40" s="75"/>
      <c r="E40" s="3" t="s">
        <v>68</v>
      </c>
      <c r="F40" s="23">
        <v>1</v>
      </c>
      <c r="G40" s="23">
        <v>0</v>
      </c>
      <c r="H40" s="23">
        <f t="shared" si="22"/>
        <v>0</v>
      </c>
      <c r="I40" s="23">
        <f t="shared" si="23"/>
        <v>0</v>
      </c>
      <c r="J40" s="23">
        <f t="shared" si="24"/>
        <v>0</v>
      </c>
      <c r="K40" s="23">
        <v>1.0319999999999999E-2</v>
      </c>
      <c r="L40" s="24">
        <v>1.0319999999999999E-2</v>
      </c>
      <c r="Z40" s="23">
        <f t="shared" si="25"/>
        <v>0</v>
      </c>
      <c r="AB40" s="23">
        <f t="shared" si="26"/>
        <v>0</v>
      </c>
      <c r="AC40" s="23">
        <f t="shared" si="27"/>
        <v>0</v>
      </c>
      <c r="AD40" s="23">
        <f t="shared" si="28"/>
        <v>0</v>
      </c>
      <c r="AE40" s="23">
        <f t="shared" si="29"/>
        <v>0</v>
      </c>
      <c r="AF40" s="23">
        <f t="shared" si="30"/>
        <v>0</v>
      </c>
      <c r="AG40" s="23">
        <f t="shared" si="31"/>
        <v>0</v>
      </c>
      <c r="AH40" s="23">
        <f t="shared" si="32"/>
        <v>0</v>
      </c>
      <c r="AI40" s="8" t="s">
        <v>53</v>
      </c>
      <c r="AJ40" s="23">
        <f t="shared" si="33"/>
        <v>0</v>
      </c>
      <c r="AK40" s="23">
        <f t="shared" si="34"/>
        <v>0</v>
      </c>
      <c r="AL40" s="23">
        <f t="shared" si="35"/>
        <v>0</v>
      </c>
      <c r="AN40" s="23">
        <v>21</v>
      </c>
      <c r="AO40" s="23">
        <f>G40*0.480950342</f>
        <v>0</v>
      </c>
      <c r="AP40" s="23">
        <f>G40*(1-0.480950342)</f>
        <v>0</v>
      </c>
      <c r="AQ40" s="25" t="s">
        <v>94</v>
      </c>
      <c r="AV40" s="23">
        <f t="shared" si="36"/>
        <v>0</v>
      </c>
      <c r="AW40" s="23">
        <f t="shared" si="37"/>
        <v>0</v>
      </c>
      <c r="AX40" s="23">
        <f t="shared" si="38"/>
        <v>0</v>
      </c>
      <c r="AY40" s="25" t="s">
        <v>137</v>
      </c>
      <c r="AZ40" s="25" t="s">
        <v>123</v>
      </c>
      <c r="BA40" s="8" t="s">
        <v>62</v>
      </c>
      <c r="BC40" s="23">
        <f t="shared" si="39"/>
        <v>0</v>
      </c>
      <c r="BD40" s="23">
        <f t="shared" si="40"/>
        <v>0</v>
      </c>
      <c r="BE40" s="23">
        <v>0</v>
      </c>
      <c r="BF40" s="23">
        <f>40</f>
        <v>40</v>
      </c>
      <c r="BH40" s="23">
        <f t="shared" si="41"/>
        <v>0</v>
      </c>
      <c r="BI40" s="23">
        <f t="shared" si="42"/>
        <v>0</v>
      </c>
      <c r="BJ40" s="23">
        <f t="shared" si="43"/>
        <v>0</v>
      </c>
      <c r="BK40" s="23"/>
      <c r="BL40" s="23">
        <v>722</v>
      </c>
      <c r="BW40" s="23">
        <v>21</v>
      </c>
    </row>
    <row r="41" spans="1:75" ht="13.5" customHeight="1" x14ac:dyDescent="0.25">
      <c r="A41" s="2" t="s">
        <v>147</v>
      </c>
      <c r="B41" s="3" t="s">
        <v>148</v>
      </c>
      <c r="C41" s="80" t="s">
        <v>149</v>
      </c>
      <c r="D41" s="75"/>
      <c r="E41" s="3" t="s">
        <v>68</v>
      </c>
      <c r="F41" s="23">
        <v>2</v>
      </c>
      <c r="G41" s="23">
        <v>0</v>
      </c>
      <c r="H41" s="23">
        <f t="shared" si="22"/>
        <v>0</v>
      </c>
      <c r="I41" s="23">
        <f t="shared" si="23"/>
        <v>0</v>
      </c>
      <c r="J41" s="23">
        <f t="shared" si="24"/>
        <v>0</v>
      </c>
      <c r="K41" s="23">
        <v>0</v>
      </c>
      <c r="L41" s="24">
        <v>0</v>
      </c>
      <c r="Z41" s="23">
        <f t="shared" si="25"/>
        <v>0</v>
      </c>
      <c r="AB41" s="23">
        <f t="shared" si="26"/>
        <v>0</v>
      </c>
      <c r="AC41" s="23">
        <f t="shared" si="27"/>
        <v>0</v>
      </c>
      <c r="AD41" s="23">
        <f t="shared" si="28"/>
        <v>0</v>
      </c>
      <c r="AE41" s="23">
        <f t="shared" si="29"/>
        <v>0</v>
      </c>
      <c r="AF41" s="23">
        <f t="shared" si="30"/>
        <v>0</v>
      </c>
      <c r="AG41" s="23">
        <f t="shared" si="31"/>
        <v>0</v>
      </c>
      <c r="AH41" s="23">
        <f t="shared" si="32"/>
        <v>0</v>
      </c>
      <c r="AI41" s="8" t="s">
        <v>53</v>
      </c>
      <c r="AJ41" s="23">
        <f t="shared" si="33"/>
        <v>0</v>
      </c>
      <c r="AK41" s="23">
        <f t="shared" si="34"/>
        <v>0</v>
      </c>
      <c r="AL41" s="23">
        <f t="shared" si="35"/>
        <v>0</v>
      </c>
      <c r="AN41" s="23">
        <v>21</v>
      </c>
      <c r="AO41" s="23">
        <f>G41*0</f>
        <v>0</v>
      </c>
      <c r="AP41" s="23">
        <f>G41*(1-0)</f>
        <v>0</v>
      </c>
      <c r="AQ41" s="25" t="s">
        <v>94</v>
      </c>
      <c r="AV41" s="23">
        <f t="shared" si="36"/>
        <v>0</v>
      </c>
      <c r="AW41" s="23">
        <f t="shared" si="37"/>
        <v>0</v>
      </c>
      <c r="AX41" s="23">
        <f t="shared" si="38"/>
        <v>0</v>
      </c>
      <c r="AY41" s="25" t="s">
        <v>137</v>
      </c>
      <c r="AZ41" s="25" t="s">
        <v>123</v>
      </c>
      <c r="BA41" s="8" t="s">
        <v>62</v>
      </c>
      <c r="BC41" s="23">
        <f t="shared" si="39"/>
        <v>0</v>
      </c>
      <c r="BD41" s="23">
        <f t="shared" si="40"/>
        <v>0</v>
      </c>
      <c r="BE41" s="23">
        <v>0</v>
      </c>
      <c r="BF41" s="23">
        <f>41</f>
        <v>41</v>
      </c>
      <c r="BH41" s="23">
        <f t="shared" si="41"/>
        <v>0</v>
      </c>
      <c r="BI41" s="23">
        <f t="shared" si="42"/>
        <v>0</v>
      </c>
      <c r="BJ41" s="23">
        <f t="shared" si="43"/>
        <v>0</v>
      </c>
      <c r="BK41" s="23"/>
      <c r="BL41" s="23">
        <v>722</v>
      </c>
      <c r="BW41" s="23">
        <v>21</v>
      </c>
    </row>
    <row r="42" spans="1:75" ht="13.5" customHeight="1" x14ac:dyDescent="0.25">
      <c r="A42" s="2" t="s">
        <v>150</v>
      </c>
      <c r="B42" s="3" t="s">
        <v>151</v>
      </c>
      <c r="C42" s="80" t="s">
        <v>152</v>
      </c>
      <c r="D42" s="75"/>
      <c r="E42" s="3" t="s">
        <v>68</v>
      </c>
      <c r="F42" s="23">
        <v>1</v>
      </c>
      <c r="G42" s="23">
        <v>0</v>
      </c>
      <c r="H42" s="23">
        <f t="shared" si="22"/>
        <v>0</v>
      </c>
      <c r="I42" s="23">
        <f t="shared" si="23"/>
        <v>0</v>
      </c>
      <c r="J42" s="23">
        <f t="shared" si="24"/>
        <v>0</v>
      </c>
      <c r="K42" s="23">
        <v>2.0000000000000002E-5</v>
      </c>
      <c r="L42" s="24">
        <v>2.0000000000000002E-5</v>
      </c>
      <c r="Z42" s="23">
        <f t="shared" si="25"/>
        <v>0</v>
      </c>
      <c r="AB42" s="23">
        <f t="shared" si="26"/>
        <v>0</v>
      </c>
      <c r="AC42" s="23">
        <f t="shared" si="27"/>
        <v>0</v>
      </c>
      <c r="AD42" s="23">
        <f t="shared" si="28"/>
        <v>0</v>
      </c>
      <c r="AE42" s="23">
        <f t="shared" si="29"/>
        <v>0</v>
      </c>
      <c r="AF42" s="23">
        <f t="shared" si="30"/>
        <v>0</v>
      </c>
      <c r="AG42" s="23">
        <f t="shared" si="31"/>
        <v>0</v>
      </c>
      <c r="AH42" s="23">
        <f t="shared" si="32"/>
        <v>0</v>
      </c>
      <c r="AI42" s="8" t="s">
        <v>53</v>
      </c>
      <c r="AJ42" s="23">
        <f t="shared" si="33"/>
        <v>0</v>
      </c>
      <c r="AK42" s="23">
        <f t="shared" si="34"/>
        <v>0</v>
      </c>
      <c r="AL42" s="23">
        <f t="shared" si="35"/>
        <v>0</v>
      </c>
      <c r="AN42" s="23">
        <v>21</v>
      </c>
      <c r="AO42" s="23">
        <f>G42*0.059272727</f>
        <v>0</v>
      </c>
      <c r="AP42" s="23">
        <f>G42*(1-0.059272727)</f>
        <v>0</v>
      </c>
      <c r="AQ42" s="25" t="s">
        <v>94</v>
      </c>
      <c r="AV42" s="23">
        <f t="shared" si="36"/>
        <v>0</v>
      </c>
      <c r="AW42" s="23">
        <f t="shared" si="37"/>
        <v>0</v>
      </c>
      <c r="AX42" s="23">
        <f t="shared" si="38"/>
        <v>0</v>
      </c>
      <c r="AY42" s="25" t="s">
        <v>137</v>
      </c>
      <c r="AZ42" s="25" t="s">
        <v>123</v>
      </c>
      <c r="BA42" s="8" t="s">
        <v>62</v>
      </c>
      <c r="BC42" s="23">
        <f t="shared" si="39"/>
        <v>0</v>
      </c>
      <c r="BD42" s="23">
        <f t="shared" si="40"/>
        <v>0</v>
      </c>
      <c r="BE42" s="23">
        <v>0</v>
      </c>
      <c r="BF42" s="23">
        <f>42</f>
        <v>42</v>
      </c>
      <c r="BH42" s="23">
        <f t="shared" si="41"/>
        <v>0</v>
      </c>
      <c r="BI42" s="23">
        <f t="shared" si="42"/>
        <v>0</v>
      </c>
      <c r="BJ42" s="23">
        <f t="shared" si="43"/>
        <v>0</v>
      </c>
      <c r="BK42" s="23"/>
      <c r="BL42" s="23">
        <v>722</v>
      </c>
      <c r="BW42" s="23">
        <v>21</v>
      </c>
    </row>
    <row r="43" spans="1:75" ht="13.5" customHeight="1" x14ac:dyDescent="0.25">
      <c r="A43" s="2" t="s">
        <v>153</v>
      </c>
      <c r="B43" s="3" t="s">
        <v>154</v>
      </c>
      <c r="C43" s="80" t="s">
        <v>155</v>
      </c>
      <c r="D43" s="75"/>
      <c r="E43" s="3" t="s">
        <v>68</v>
      </c>
      <c r="F43" s="23">
        <v>2</v>
      </c>
      <c r="G43" s="23">
        <v>0</v>
      </c>
      <c r="H43" s="23">
        <f t="shared" si="22"/>
        <v>0</v>
      </c>
      <c r="I43" s="23">
        <f t="shared" si="23"/>
        <v>0</v>
      </c>
      <c r="J43" s="23">
        <f t="shared" si="24"/>
        <v>0</v>
      </c>
      <c r="K43" s="23">
        <v>0</v>
      </c>
      <c r="L43" s="24">
        <v>0</v>
      </c>
      <c r="Z43" s="23">
        <f t="shared" si="25"/>
        <v>0</v>
      </c>
      <c r="AB43" s="23">
        <f t="shared" si="26"/>
        <v>0</v>
      </c>
      <c r="AC43" s="23">
        <f t="shared" si="27"/>
        <v>0</v>
      </c>
      <c r="AD43" s="23">
        <f t="shared" si="28"/>
        <v>0</v>
      </c>
      <c r="AE43" s="23">
        <f t="shared" si="29"/>
        <v>0</v>
      </c>
      <c r="AF43" s="23">
        <f t="shared" si="30"/>
        <v>0</v>
      </c>
      <c r="AG43" s="23">
        <f t="shared" si="31"/>
        <v>0</v>
      </c>
      <c r="AH43" s="23">
        <f t="shared" si="32"/>
        <v>0</v>
      </c>
      <c r="AI43" s="8" t="s">
        <v>53</v>
      </c>
      <c r="AJ43" s="23">
        <f t="shared" si="33"/>
        <v>0</v>
      </c>
      <c r="AK43" s="23">
        <f t="shared" si="34"/>
        <v>0</v>
      </c>
      <c r="AL43" s="23">
        <f t="shared" si="35"/>
        <v>0</v>
      </c>
      <c r="AN43" s="23">
        <v>21</v>
      </c>
      <c r="AO43" s="23">
        <f>G43*0</f>
        <v>0</v>
      </c>
      <c r="AP43" s="23">
        <f>G43*(1-0)</f>
        <v>0</v>
      </c>
      <c r="AQ43" s="25" t="s">
        <v>94</v>
      </c>
      <c r="AV43" s="23">
        <f t="shared" si="36"/>
        <v>0</v>
      </c>
      <c r="AW43" s="23">
        <f t="shared" si="37"/>
        <v>0</v>
      </c>
      <c r="AX43" s="23">
        <f t="shared" si="38"/>
        <v>0</v>
      </c>
      <c r="AY43" s="25" t="s">
        <v>137</v>
      </c>
      <c r="AZ43" s="25" t="s">
        <v>123</v>
      </c>
      <c r="BA43" s="8" t="s">
        <v>62</v>
      </c>
      <c r="BC43" s="23">
        <f t="shared" si="39"/>
        <v>0</v>
      </c>
      <c r="BD43" s="23">
        <f t="shared" si="40"/>
        <v>0</v>
      </c>
      <c r="BE43" s="23">
        <v>0</v>
      </c>
      <c r="BF43" s="23">
        <f>43</f>
        <v>43</v>
      </c>
      <c r="BH43" s="23">
        <f t="shared" si="41"/>
        <v>0</v>
      </c>
      <c r="BI43" s="23">
        <f t="shared" si="42"/>
        <v>0</v>
      </c>
      <c r="BJ43" s="23">
        <f t="shared" si="43"/>
        <v>0</v>
      </c>
      <c r="BK43" s="23"/>
      <c r="BL43" s="23">
        <v>722</v>
      </c>
      <c r="BW43" s="23">
        <v>21</v>
      </c>
    </row>
    <row r="44" spans="1:75" ht="13.5" customHeight="1" x14ac:dyDescent="0.25">
      <c r="A44" s="2" t="s">
        <v>156</v>
      </c>
      <c r="B44" s="3" t="s">
        <v>157</v>
      </c>
      <c r="C44" s="80" t="s">
        <v>158</v>
      </c>
      <c r="D44" s="75"/>
      <c r="E44" s="3" t="s">
        <v>102</v>
      </c>
      <c r="F44" s="23">
        <v>4</v>
      </c>
      <c r="G44" s="23">
        <v>0</v>
      </c>
      <c r="H44" s="23">
        <f t="shared" si="22"/>
        <v>0</v>
      </c>
      <c r="I44" s="23">
        <f t="shared" si="23"/>
        <v>0</v>
      </c>
      <c r="J44" s="23">
        <f t="shared" si="24"/>
        <v>0</v>
      </c>
      <c r="K44" s="23">
        <v>0</v>
      </c>
      <c r="L44" s="24">
        <v>4.9699999999999996E-3</v>
      </c>
      <c r="Z44" s="23">
        <f t="shared" si="25"/>
        <v>0</v>
      </c>
      <c r="AB44" s="23">
        <f t="shared" si="26"/>
        <v>0</v>
      </c>
      <c r="AC44" s="23">
        <f t="shared" si="27"/>
        <v>0</v>
      </c>
      <c r="AD44" s="23">
        <f t="shared" si="28"/>
        <v>0</v>
      </c>
      <c r="AE44" s="23">
        <f t="shared" si="29"/>
        <v>0</v>
      </c>
      <c r="AF44" s="23">
        <f t="shared" si="30"/>
        <v>0</v>
      </c>
      <c r="AG44" s="23">
        <f t="shared" si="31"/>
        <v>0</v>
      </c>
      <c r="AH44" s="23">
        <f t="shared" si="32"/>
        <v>0</v>
      </c>
      <c r="AI44" s="8" t="s">
        <v>53</v>
      </c>
      <c r="AJ44" s="23">
        <f t="shared" si="33"/>
        <v>0</v>
      </c>
      <c r="AK44" s="23">
        <f t="shared" si="34"/>
        <v>0</v>
      </c>
      <c r="AL44" s="23">
        <f t="shared" si="35"/>
        <v>0</v>
      </c>
      <c r="AN44" s="23">
        <v>21</v>
      </c>
      <c r="AO44" s="23">
        <f>G44*0</f>
        <v>0</v>
      </c>
      <c r="AP44" s="23">
        <f>G44*(1-0)</f>
        <v>0</v>
      </c>
      <c r="AQ44" s="25" t="s">
        <v>94</v>
      </c>
      <c r="AV44" s="23">
        <f t="shared" si="36"/>
        <v>0</v>
      </c>
      <c r="AW44" s="23">
        <f t="shared" si="37"/>
        <v>0</v>
      </c>
      <c r="AX44" s="23">
        <f t="shared" si="38"/>
        <v>0</v>
      </c>
      <c r="AY44" s="25" t="s">
        <v>137</v>
      </c>
      <c r="AZ44" s="25" t="s">
        <v>123</v>
      </c>
      <c r="BA44" s="8" t="s">
        <v>62</v>
      </c>
      <c r="BC44" s="23">
        <f t="shared" si="39"/>
        <v>0</v>
      </c>
      <c r="BD44" s="23">
        <f t="shared" si="40"/>
        <v>0</v>
      </c>
      <c r="BE44" s="23">
        <v>0</v>
      </c>
      <c r="BF44" s="23">
        <f>44</f>
        <v>44</v>
      </c>
      <c r="BH44" s="23">
        <f t="shared" si="41"/>
        <v>0</v>
      </c>
      <c r="BI44" s="23">
        <f t="shared" si="42"/>
        <v>0</v>
      </c>
      <c r="BJ44" s="23">
        <f t="shared" si="43"/>
        <v>0</v>
      </c>
      <c r="BK44" s="23"/>
      <c r="BL44" s="23">
        <v>722</v>
      </c>
      <c r="BW44" s="23">
        <v>21</v>
      </c>
    </row>
    <row r="45" spans="1:75" ht="13.5" customHeight="1" x14ac:dyDescent="0.25">
      <c r="A45" s="2" t="s">
        <v>159</v>
      </c>
      <c r="B45" s="3" t="s">
        <v>145</v>
      </c>
      <c r="C45" s="80" t="s">
        <v>160</v>
      </c>
      <c r="D45" s="75"/>
      <c r="E45" s="3" t="s">
        <v>68</v>
      </c>
      <c r="F45" s="23">
        <v>1</v>
      </c>
      <c r="G45" s="23">
        <v>0</v>
      </c>
      <c r="H45" s="23">
        <f t="shared" si="22"/>
        <v>0</v>
      </c>
      <c r="I45" s="23">
        <f t="shared" si="23"/>
        <v>0</v>
      </c>
      <c r="J45" s="23">
        <f t="shared" si="24"/>
        <v>0</v>
      </c>
      <c r="K45" s="23">
        <v>1.0319999999999999E-2</v>
      </c>
      <c r="L45" s="24">
        <v>1.0319999999999999E-2</v>
      </c>
      <c r="Z45" s="23">
        <f t="shared" si="25"/>
        <v>0</v>
      </c>
      <c r="AB45" s="23">
        <f t="shared" si="26"/>
        <v>0</v>
      </c>
      <c r="AC45" s="23">
        <f t="shared" si="27"/>
        <v>0</v>
      </c>
      <c r="AD45" s="23">
        <f t="shared" si="28"/>
        <v>0</v>
      </c>
      <c r="AE45" s="23">
        <f t="shared" si="29"/>
        <v>0</v>
      </c>
      <c r="AF45" s="23">
        <f t="shared" si="30"/>
        <v>0</v>
      </c>
      <c r="AG45" s="23">
        <f t="shared" si="31"/>
        <v>0</v>
      </c>
      <c r="AH45" s="23">
        <f t="shared" si="32"/>
        <v>0</v>
      </c>
      <c r="AI45" s="8" t="s">
        <v>53</v>
      </c>
      <c r="AJ45" s="23">
        <f t="shared" si="33"/>
        <v>0</v>
      </c>
      <c r="AK45" s="23">
        <f t="shared" si="34"/>
        <v>0</v>
      </c>
      <c r="AL45" s="23">
        <f t="shared" si="35"/>
        <v>0</v>
      </c>
      <c r="AN45" s="23">
        <v>21</v>
      </c>
      <c r="AO45" s="23">
        <f>G45*0.53435567</f>
        <v>0</v>
      </c>
      <c r="AP45" s="23">
        <f>G45*(1-0.53435567)</f>
        <v>0</v>
      </c>
      <c r="AQ45" s="25" t="s">
        <v>94</v>
      </c>
      <c r="AV45" s="23">
        <f t="shared" si="36"/>
        <v>0</v>
      </c>
      <c r="AW45" s="23">
        <f t="shared" si="37"/>
        <v>0</v>
      </c>
      <c r="AX45" s="23">
        <f t="shared" si="38"/>
        <v>0</v>
      </c>
      <c r="AY45" s="25" t="s">
        <v>137</v>
      </c>
      <c r="AZ45" s="25" t="s">
        <v>123</v>
      </c>
      <c r="BA45" s="8" t="s">
        <v>62</v>
      </c>
      <c r="BC45" s="23">
        <f t="shared" si="39"/>
        <v>0</v>
      </c>
      <c r="BD45" s="23">
        <f t="shared" si="40"/>
        <v>0</v>
      </c>
      <c r="BE45" s="23">
        <v>0</v>
      </c>
      <c r="BF45" s="23">
        <f>45</f>
        <v>45</v>
      </c>
      <c r="BH45" s="23">
        <f t="shared" si="41"/>
        <v>0</v>
      </c>
      <c r="BI45" s="23">
        <f t="shared" si="42"/>
        <v>0</v>
      </c>
      <c r="BJ45" s="23">
        <f t="shared" si="43"/>
        <v>0</v>
      </c>
      <c r="BK45" s="23"/>
      <c r="BL45" s="23">
        <v>722</v>
      </c>
      <c r="BW45" s="23">
        <v>21</v>
      </c>
    </row>
    <row r="46" spans="1:75" ht="13.5" customHeight="1" x14ac:dyDescent="0.25">
      <c r="A46" s="2" t="s">
        <v>161</v>
      </c>
      <c r="B46" s="3" t="s">
        <v>162</v>
      </c>
      <c r="C46" s="80" t="s">
        <v>163</v>
      </c>
      <c r="D46" s="75"/>
      <c r="E46" s="3" t="s">
        <v>68</v>
      </c>
      <c r="F46" s="23">
        <v>1</v>
      </c>
      <c r="G46" s="23">
        <v>0</v>
      </c>
      <c r="H46" s="23">
        <f t="shared" si="22"/>
        <v>0</v>
      </c>
      <c r="I46" s="23">
        <f t="shared" si="23"/>
        <v>0</v>
      </c>
      <c r="J46" s="23">
        <f t="shared" si="24"/>
        <v>0</v>
      </c>
      <c r="K46" s="23">
        <v>1.1639999999999999E-2</v>
      </c>
      <c r="L46" s="24">
        <v>1.1639999999999999E-2</v>
      </c>
      <c r="Z46" s="23">
        <f t="shared" si="25"/>
        <v>0</v>
      </c>
      <c r="AB46" s="23">
        <f t="shared" si="26"/>
        <v>0</v>
      </c>
      <c r="AC46" s="23">
        <f t="shared" si="27"/>
        <v>0</v>
      </c>
      <c r="AD46" s="23">
        <f t="shared" si="28"/>
        <v>0</v>
      </c>
      <c r="AE46" s="23">
        <f t="shared" si="29"/>
        <v>0</v>
      </c>
      <c r="AF46" s="23">
        <f t="shared" si="30"/>
        <v>0</v>
      </c>
      <c r="AG46" s="23">
        <f t="shared" si="31"/>
        <v>0</v>
      </c>
      <c r="AH46" s="23">
        <f t="shared" si="32"/>
        <v>0</v>
      </c>
      <c r="AI46" s="8" t="s">
        <v>53</v>
      </c>
      <c r="AJ46" s="23">
        <f t="shared" si="33"/>
        <v>0</v>
      </c>
      <c r="AK46" s="23">
        <f t="shared" si="34"/>
        <v>0</v>
      </c>
      <c r="AL46" s="23">
        <f t="shared" si="35"/>
        <v>0</v>
      </c>
      <c r="AN46" s="23">
        <v>21</v>
      </c>
      <c r="AO46" s="23">
        <f>G46*0.562750175</f>
        <v>0</v>
      </c>
      <c r="AP46" s="23">
        <f>G46*(1-0.562750175)</f>
        <v>0</v>
      </c>
      <c r="AQ46" s="25" t="s">
        <v>94</v>
      </c>
      <c r="AV46" s="23">
        <f t="shared" si="36"/>
        <v>0</v>
      </c>
      <c r="AW46" s="23">
        <f t="shared" si="37"/>
        <v>0</v>
      </c>
      <c r="AX46" s="23">
        <f t="shared" si="38"/>
        <v>0</v>
      </c>
      <c r="AY46" s="25" t="s">
        <v>137</v>
      </c>
      <c r="AZ46" s="25" t="s">
        <v>123</v>
      </c>
      <c r="BA46" s="8" t="s">
        <v>62</v>
      </c>
      <c r="BC46" s="23">
        <f t="shared" si="39"/>
        <v>0</v>
      </c>
      <c r="BD46" s="23">
        <f t="shared" si="40"/>
        <v>0</v>
      </c>
      <c r="BE46" s="23">
        <v>0</v>
      </c>
      <c r="BF46" s="23">
        <f>46</f>
        <v>46</v>
      </c>
      <c r="BH46" s="23">
        <f t="shared" si="41"/>
        <v>0</v>
      </c>
      <c r="BI46" s="23">
        <f t="shared" si="42"/>
        <v>0</v>
      </c>
      <c r="BJ46" s="23">
        <f t="shared" si="43"/>
        <v>0</v>
      </c>
      <c r="BK46" s="23"/>
      <c r="BL46" s="23">
        <v>722</v>
      </c>
      <c r="BW46" s="23">
        <v>21</v>
      </c>
    </row>
    <row r="47" spans="1:75" ht="13.5" customHeight="1" x14ac:dyDescent="0.25">
      <c r="A47" s="2" t="s">
        <v>164</v>
      </c>
      <c r="B47" s="3" t="s">
        <v>165</v>
      </c>
      <c r="C47" s="80" t="s">
        <v>166</v>
      </c>
      <c r="D47" s="75"/>
      <c r="E47" s="3" t="s">
        <v>102</v>
      </c>
      <c r="F47" s="23">
        <v>2</v>
      </c>
      <c r="G47" s="23">
        <v>0</v>
      </c>
      <c r="H47" s="23">
        <f t="shared" si="22"/>
        <v>0</v>
      </c>
      <c r="I47" s="23">
        <f t="shared" si="23"/>
        <v>0</v>
      </c>
      <c r="J47" s="23">
        <f t="shared" si="24"/>
        <v>0</v>
      </c>
      <c r="K47" s="23">
        <v>3.9899999999999996E-3</v>
      </c>
      <c r="L47" s="24">
        <v>3.9899999999999996E-3</v>
      </c>
      <c r="Z47" s="23">
        <f t="shared" si="25"/>
        <v>0</v>
      </c>
      <c r="AB47" s="23">
        <f t="shared" si="26"/>
        <v>0</v>
      </c>
      <c r="AC47" s="23">
        <f t="shared" si="27"/>
        <v>0</v>
      </c>
      <c r="AD47" s="23">
        <f t="shared" si="28"/>
        <v>0</v>
      </c>
      <c r="AE47" s="23">
        <f t="shared" si="29"/>
        <v>0</v>
      </c>
      <c r="AF47" s="23">
        <f t="shared" si="30"/>
        <v>0</v>
      </c>
      <c r="AG47" s="23">
        <f t="shared" si="31"/>
        <v>0</v>
      </c>
      <c r="AH47" s="23">
        <f t="shared" si="32"/>
        <v>0</v>
      </c>
      <c r="AI47" s="8" t="s">
        <v>53</v>
      </c>
      <c r="AJ47" s="23">
        <f t="shared" si="33"/>
        <v>0</v>
      </c>
      <c r="AK47" s="23">
        <f t="shared" si="34"/>
        <v>0</v>
      </c>
      <c r="AL47" s="23">
        <f t="shared" si="35"/>
        <v>0</v>
      </c>
      <c r="AN47" s="23">
        <v>21</v>
      </c>
      <c r="AO47" s="23">
        <f>G47*0.266073698</f>
        <v>0</v>
      </c>
      <c r="AP47" s="23">
        <f>G47*(1-0.266073698)</f>
        <v>0</v>
      </c>
      <c r="AQ47" s="25" t="s">
        <v>94</v>
      </c>
      <c r="AV47" s="23">
        <f t="shared" si="36"/>
        <v>0</v>
      </c>
      <c r="AW47" s="23">
        <f t="shared" si="37"/>
        <v>0</v>
      </c>
      <c r="AX47" s="23">
        <f t="shared" si="38"/>
        <v>0</v>
      </c>
      <c r="AY47" s="25" t="s">
        <v>137</v>
      </c>
      <c r="AZ47" s="25" t="s">
        <v>123</v>
      </c>
      <c r="BA47" s="8" t="s">
        <v>62</v>
      </c>
      <c r="BC47" s="23">
        <f t="shared" si="39"/>
        <v>0</v>
      </c>
      <c r="BD47" s="23">
        <f t="shared" si="40"/>
        <v>0</v>
      </c>
      <c r="BE47" s="23">
        <v>0</v>
      </c>
      <c r="BF47" s="23">
        <f>47</f>
        <v>47</v>
      </c>
      <c r="BH47" s="23">
        <f t="shared" si="41"/>
        <v>0</v>
      </c>
      <c r="BI47" s="23">
        <f t="shared" si="42"/>
        <v>0</v>
      </c>
      <c r="BJ47" s="23">
        <f t="shared" si="43"/>
        <v>0</v>
      </c>
      <c r="BK47" s="23"/>
      <c r="BL47" s="23">
        <v>722</v>
      </c>
      <c r="BW47" s="23">
        <v>21</v>
      </c>
    </row>
    <row r="48" spans="1:75" ht="13.5" customHeight="1" x14ac:dyDescent="0.25">
      <c r="A48" s="2" t="s">
        <v>167</v>
      </c>
      <c r="B48" s="3" t="s">
        <v>168</v>
      </c>
      <c r="C48" s="80" t="s">
        <v>169</v>
      </c>
      <c r="D48" s="75"/>
      <c r="E48" s="3" t="s">
        <v>102</v>
      </c>
      <c r="F48" s="23">
        <v>4</v>
      </c>
      <c r="G48" s="23">
        <v>0</v>
      </c>
      <c r="H48" s="23">
        <f t="shared" si="22"/>
        <v>0</v>
      </c>
      <c r="I48" s="23">
        <f t="shared" si="23"/>
        <v>0</v>
      </c>
      <c r="J48" s="23">
        <f t="shared" si="24"/>
        <v>0</v>
      </c>
      <c r="K48" s="23">
        <v>5.2199999999999998E-3</v>
      </c>
      <c r="L48" s="24">
        <v>5.2199999999999998E-3</v>
      </c>
      <c r="Z48" s="23">
        <f t="shared" si="25"/>
        <v>0</v>
      </c>
      <c r="AB48" s="23">
        <f t="shared" si="26"/>
        <v>0</v>
      </c>
      <c r="AC48" s="23">
        <f t="shared" si="27"/>
        <v>0</v>
      </c>
      <c r="AD48" s="23">
        <f t="shared" si="28"/>
        <v>0</v>
      </c>
      <c r="AE48" s="23">
        <f t="shared" si="29"/>
        <v>0</v>
      </c>
      <c r="AF48" s="23">
        <f t="shared" si="30"/>
        <v>0</v>
      </c>
      <c r="AG48" s="23">
        <f t="shared" si="31"/>
        <v>0</v>
      </c>
      <c r="AH48" s="23">
        <f t="shared" si="32"/>
        <v>0</v>
      </c>
      <c r="AI48" s="8" t="s">
        <v>53</v>
      </c>
      <c r="AJ48" s="23">
        <f t="shared" si="33"/>
        <v>0</v>
      </c>
      <c r="AK48" s="23">
        <f t="shared" si="34"/>
        <v>0</v>
      </c>
      <c r="AL48" s="23">
        <f t="shared" si="35"/>
        <v>0</v>
      </c>
      <c r="AN48" s="23">
        <v>21</v>
      </c>
      <c r="AO48" s="23">
        <f>G48*0.318207452</f>
        <v>0</v>
      </c>
      <c r="AP48" s="23">
        <f>G48*(1-0.318207452)</f>
        <v>0</v>
      </c>
      <c r="AQ48" s="25" t="s">
        <v>94</v>
      </c>
      <c r="AV48" s="23">
        <f t="shared" si="36"/>
        <v>0</v>
      </c>
      <c r="AW48" s="23">
        <f t="shared" si="37"/>
        <v>0</v>
      </c>
      <c r="AX48" s="23">
        <f t="shared" si="38"/>
        <v>0</v>
      </c>
      <c r="AY48" s="25" t="s">
        <v>137</v>
      </c>
      <c r="AZ48" s="25" t="s">
        <v>123</v>
      </c>
      <c r="BA48" s="8" t="s">
        <v>62</v>
      </c>
      <c r="BC48" s="23">
        <f t="shared" si="39"/>
        <v>0</v>
      </c>
      <c r="BD48" s="23">
        <f t="shared" si="40"/>
        <v>0</v>
      </c>
      <c r="BE48" s="23">
        <v>0</v>
      </c>
      <c r="BF48" s="23">
        <f>48</f>
        <v>48</v>
      </c>
      <c r="BH48" s="23">
        <f t="shared" si="41"/>
        <v>0</v>
      </c>
      <c r="BI48" s="23">
        <f t="shared" si="42"/>
        <v>0</v>
      </c>
      <c r="BJ48" s="23">
        <f t="shared" si="43"/>
        <v>0</v>
      </c>
      <c r="BK48" s="23"/>
      <c r="BL48" s="23">
        <v>722</v>
      </c>
      <c r="BW48" s="23">
        <v>21</v>
      </c>
    </row>
    <row r="49" spans="1:75" ht="13.5" customHeight="1" x14ac:dyDescent="0.25">
      <c r="A49" s="2" t="s">
        <v>170</v>
      </c>
      <c r="B49" s="3" t="s">
        <v>171</v>
      </c>
      <c r="C49" s="80" t="s">
        <v>172</v>
      </c>
      <c r="D49" s="75"/>
      <c r="E49" s="3" t="s">
        <v>102</v>
      </c>
      <c r="F49" s="23">
        <v>12</v>
      </c>
      <c r="G49" s="23">
        <v>0</v>
      </c>
      <c r="H49" s="23">
        <f t="shared" si="22"/>
        <v>0</v>
      </c>
      <c r="I49" s="23">
        <f t="shared" si="23"/>
        <v>0</v>
      </c>
      <c r="J49" s="23">
        <f t="shared" si="24"/>
        <v>0</v>
      </c>
      <c r="K49" s="23">
        <v>5.4099999999999999E-3</v>
      </c>
      <c r="L49" s="24">
        <v>5.4099999999999999E-3</v>
      </c>
      <c r="Z49" s="23">
        <f t="shared" si="25"/>
        <v>0</v>
      </c>
      <c r="AB49" s="23">
        <f t="shared" si="26"/>
        <v>0</v>
      </c>
      <c r="AC49" s="23">
        <f t="shared" si="27"/>
        <v>0</v>
      </c>
      <c r="AD49" s="23">
        <f t="shared" si="28"/>
        <v>0</v>
      </c>
      <c r="AE49" s="23">
        <f t="shared" si="29"/>
        <v>0</v>
      </c>
      <c r="AF49" s="23">
        <f t="shared" si="30"/>
        <v>0</v>
      </c>
      <c r="AG49" s="23">
        <f t="shared" si="31"/>
        <v>0</v>
      </c>
      <c r="AH49" s="23">
        <f t="shared" si="32"/>
        <v>0</v>
      </c>
      <c r="AI49" s="8" t="s">
        <v>53</v>
      </c>
      <c r="AJ49" s="23">
        <f t="shared" si="33"/>
        <v>0</v>
      </c>
      <c r="AK49" s="23">
        <f t="shared" si="34"/>
        <v>0</v>
      </c>
      <c r="AL49" s="23">
        <f t="shared" si="35"/>
        <v>0</v>
      </c>
      <c r="AN49" s="23">
        <v>21</v>
      </c>
      <c r="AO49" s="23">
        <f>G49*0.408029079</f>
        <v>0</v>
      </c>
      <c r="AP49" s="23">
        <f>G49*(1-0.408029079)</f>
        <v>0</v>
      </c>
      <c r="AQ49" s="25" t="s">
        <v>94</v>
      </c>
      <c r="AV49" s="23">
        <f t="shared" si="36"/>
        <v>0</v>
      </c>
      <c r="AW49" s="23">
        <f t="shared" si="37"/>
        <v>0</v>
      </c>
      <c r="AX49" s="23">
        <f t="shared" si="38"/>
        <v>0</v>
      </c>
      <c r="AY49" s="25" t="s">
        <v>137</v>
      </c>
      <c r="AZ49" s="25" t="s">
        <v>123</v>
      </c>
      <c r="BA49" s="8" t="s">
        <v>62</v>
      </c>
      <c r="BC49" s="23">
        <f t="shared" si="39"/>
        <v>0</v>
      </c>
      <c r="BD49" s="23">
        <f t="shared" si="40"/>
        <v>0</v>
      </c>
      <c r="BE49" s="23">
        <v>0</v>
      </c>
      <c r="BF49" s="23">
        <f>49</f>
        <v>49</v>
      </c>
      <c r="BH49" s="23">
        <f t="shared" si="41"/>
        <v>0</v>
      </c>
      <c r="BI49" s="23">
        <f t="shared" si="42"/>
        <v>0</v>
      </c>
      <c r="BJ49" s="23">
        <f t="shared" si="43"/>
        <v>0</v>
      </c>
      <c r="BK49" s="23"/>
      <c r="BL49" s="23">
        <v>722</v>
      </c>
      <c r="BW49" s="23">
        <v>21</v>
      </c>
    </row>
    <row r="50" spans="1:75" ht="13.5" customHeight="1" x14ac:dyDescent="0.25">
      <c r="A50" s="2" t="s">
        <v>63</v>
      </c>
      <c r="B50" s="3" t="s">
        <v>173</v>
      </c>
      <c r="C50" s="80" t="s">
        <v>174</v>
      </c>
      <c r="D50" s="75"/>
      <c r="E50" s="3" t="s">
        <v>175</v>
      </c>
      <c r="F50" s="23">
        <v>3</v>
      </c>
      <c r="G50" s="23">
        <v>0</v>
      </c>
      <c r="H50" s="23">
        <f t="shared" si="22"/>
        <v>0</v>
      </c>
      <c r="I50" s="23">
        <f t="shared" si="23"/>
        <v>0</v>
      </c>
      <c r="J50" s="23">
        <f t="shared" si="24"/>
        <v>0</v>
      </c>
      <c r="K50" s="23">
        <v>0</v>
      </c>
      <c r="L50" s="24">
        <v>0</v>
      </c>
      <c r="Z50" s="23">
        <f t="shared" si="25"/>
        <v>0</v>
      </c>
      <c r="AB50" s="23">
        <f t="shared" si="26"/>
        <v>0</v>
      </c>
      <c r="AC50" s="23">
        <f t="shared" si="27"/>
        <v>0</v>
      </c>
      <c r="AD50" s="23">
        <f t="shared" si="28"/>
        <v>0</v>
      </c>
      <c r="AE50" s="23">
        <f t="shared" si="29"/>
        <v>0</v>
      </c>
      <c r="AF50" s="23">
        <f t="shared" si="30"/>
        <v>0</v>
      </c>
      <c r="AG50" s="23">
        <f t="shared" si="31"/>
        <v>0</v>
      </c>
      <c r="AH50" s="23">
        <f t="shared" si="32"/>
        <v>0</v>
      </c>
      <c r="AI50" s="8" t="s">
        <v>53</v>
      </c>
      <c r="AJ50" s="23">
        <f t="shared" si="33"/>
        <v>0</v>
      </c>
      <c r="AK50" s="23">
        <f t="shared" si="34"/>
        <v>0</v>
      </c>
      <c r="AL50" s="23">
        <f t="shared" si="35"/>
        <v>0</v>
      </c>
      <c r="AN50" s="23">
        <v>21</v>
      </c>
      <c r="AO50" s="23">
        <f>G50*0</f>
        <v>0</v>
      </c>
      <c r="AP50" s="23">
        <f>G50*(1-0)</f>
        <v>0</v>
      </c>
      <c r="AQ50" s="25" t="s">
        <v>94</v>
      </c>
      <c r="AV50" s="23">
        <f t="shared" si="36"/>
        <v>0</v>
      </c>
      <c r="AW50" s="23">
        <f t="shared" si="37"/>
        <v>0</v>
      </c>
      <c r="AX50" s="23">
        <f t="shared" si="38"/>
        <v>0</v>
      </c>
      <c r="AY50" s="25" t="s">
        <v>137</v>
      </c>
      <c r="AZ50" s="25" t="s">
        <v>123</v>
      </c>
      <c r="BA50" s="8" t="s">
        <v>62</v>
      </c>
      <c r="BC50" s="23">
        <f t="shared" si="39"/>
        <v>0</v>
      </c>
      <c r="BD50" s="23">
        <f t="shared" si="40"/>
        <v>0</v>
      </c>
      <c r="BE50" s="23">
        <v>0</v>
      </c>
      <c r="BF50" s="23">
        <f>50</f>
        <v>50</v>
      </c>
      <c r="BH50" s="23">
        <f t="shared" si="41"/>
        <v>0</v>
      </c>
      <c r="BI50" s="23">
        <f t="shared" si="42"/>
        <v>0</v>
      </c>
      <c r="BJ50" s="23">
        <f t="shared" si="43"/>
        <v>0</v>
      </c>
      <c r="BK50" s="23"/>
      <c r="BL50" s="23">
        <v>722</v>
      </c>
      <c r="BW50" s="23">
        <v>21</v>
      </c>
    </row>
    <row r="51" spans="1:75" ht="13.5" customHeight="1" x14ac:dyDescent="0.25">
      <c r="A51" s="2" t="s">
        <v>176</v>
      </c>
      <c r="B51" s="3" t="s">
        <v>177</v>
      </c>
      <c r="C51" s="80" t="s">
        <v>178</v>
      </c>
      <c r="D51" s="75"/>
      <c r="E51" s="3" t="s">
        <v>68</v>
      </c>
      <c r="F51" s="23">
        <v>1</v>
      </c>
      <c r="G51" s="23">
        <v>0</v>
      </c>
      <c r="H51" s="23">
        <f t="shared" si="22"/>
        <v>0</v>
      </c>
      <c r="I51" s="23">
        <f t="shared" si="23"/>
        <v>0</v>
      </c>
      <c r="J51" s="23">
        <f t="shared" si="24"/>
        <v>0</v>
      </c>
      <c r="K51" s="23">
        <v>2.15E-3</v>
      </c>
      <c r="L51" s="24">
        <v>2.15E-3</v>
      </c>
      <c r="Z51" s="23">
        <f t="shared" si="25"/>
        <v>0</v>
      </c>
      <c r="AB51" s="23">
        <f t="shared" si="26"/>
        <v>0</v>
      </c>
      <c r="AC51" s="23">
        <f t="shared" si="27"/>
        <v>0</v>
      </c>
      <c r="AD51" s="23">
        <f t="shared" si="28"/>
        <v>0</v>
      </c>
      <c r="AE51" s="23">
        <f t="shared" si="29"/>
        <v>0</v>
      </c>
      <c r="AF51" s="23">
        <f t="shared" si="30"/>
        <v>0</v>
      </c>
      <c r="AG51" s="23">
        <f t="shared" si="31"/>
        <v>0</v>
      </c>
      <c r="AH51" s="23">
        <f t="shared" si="32"/>
        <v>0</v>
      </c>
      <c r="AI51" s="8" t="s">
        <v>53</v>
      </c>
      <c r="AJ51" s="23">
        <f t="shared" si="33"/>
        <v>0</v>
      </c>
      <c r="AK51" s="23">
        <f t="shared" si="34"/>
        <v>0</v>
      </c>
      <c r="AL51" s="23">
        <f t="shared" si="35"/>
        <v>0</v>
      </c>
      <c r="AN51" s="23">
        <v>21</v>
      </c>
      <c r="AO51" s="23">
        <f>G51*0.781231733</f>
        <v>0</v>
      </c>
      <c r="AP51" s="23">
        <f>G51*(1-0.781231733)</f>
        <v>0</v>
      </c>
      <c r="AQ51" s="25" t="s">
        <v>94</v>
      </c>
      <c r="AV51" s="23">
        <f t="shared" si="36"/>
        <v>0</v>
      </c>
      <c r="AW51" s="23">
        <f t="shared" si="37"/>
        <v>0</v>
      </c>
      <c r="AX51" s="23">
        <f t="shared" si="38"/>
        <v>0</v>
      </c>
      <c r="AY51" s="25" t="s">
        <v>137</v>
      </c>
      <c r="AZ51" s="25" t="s">
        <v>123</v>
      </c>
      <c r="BA51" s="8" t="s">
        <v>62</v>
      </c>
      <c r="BC51" s="23">
        <f t="shared" si="39"/>
        <v>0</v>
      </c>
      <c r="BD51" s="23">
        <f t="shared" si="40"/>
        <v>0</v>
      </c>
      <c r="BE51" s="23">
        <v>0</v>
      </c>
      <c r="BF51" s="23">
        <f>51</f>
        <v>51</v>
      </c>
      <c r="BH51" s="23">
        <f t="shared" si="41"/>
        <v>0</v>
      </c>
      <c r="BI51" s="23">
        <f t="shared" si="42"/>
        <v>0</v>
      </c>
      <c r="BJ51" s="23">
        <f t="shared" si="43"/>
        <v>0</v>
      </c>
      <c r="BK51" s="23"/>
      <c r="BL51" s="23">
        <v>722</v>
      </c>
      <c r="BW51" s="23">
        <v>21</v>
      </c>
    </row>
    <row r="52" spans="1:75" ht="13.5" customHeight="1" x14ac:dyDescent="0.25">
      <c r="A52" s="2" t="s">
        <v>179</v>
      </c>
      <c r="B52" s="3" t="s">
        <v>180</v>
      </c>
      <c r="C52" s="80" t="s">
        <v>181</v>
      </c>
      <c r="D52" s="75"/>
      <c r="E52" s="3" t="s">
        <v>68</v>
      </c>
      <c r="F52" s="23">
        <v>1</v>
      </c>
      <c r="G52" s="23">
        <v>0</v>
      </c>
      <c r="H52" s="23">
        <f t="shared" si="22"/>
        <v>0</v>
      </c>
      <c r="I52" s="23">
        <f t="shared" si="23"/>
        <v>0</v>
      </c>
      <c r="J52" s="23">
        <f t="shared" si="24"/>
        <v>0</v>
      </c>
      <c r="K52" s="23">
        <v>5.5300000000000002E-3</v>
      </c>
      <c r="L52" s="24">
        <v>5.5300000000000002E-3</v>
      </c>
      <c r="Z52" s="23">
        <f t="shared" si="25"/>
        <v>0</v>
      </c>
      <c r="AB52" s="23">
        <f t="shared" si="26"/>
        <v>0</v>
      </c>
      <c r="AC52" s="23">
        <f t="shared" si="27"/>
        <v>0</v>
      </c>
      <c r="AD52" s="23">
        <f t="shared" si="28"/>
        <v>0</v>
      </c>
      <c r="AE52" s="23">
        <f t="shared" si="29"/>
        <v>0</v>
      </c>
      <c r="AF52" s="23">
        <f t="shared" si="30"/>
        <v>0</v>
      </c>
      <c r="AG52" s="23">
        <f t="shared" si="31"/>
        <v>0</v>
      </c>
      <c r="AH52" s="23">
        <f t="shared" si="32"/>
        <v>0</v>
      </c>
      <c r="AI52" s="8" t="s">
        <v>53</v>
      </c>
      <c r="AJ52" s="23">
        <f t="shared" si="33"/>
        <v>0</v>
      </c>
      <c r="AK52" s="23">
        <f t="shared" si="34"/>
        <v>0</v>
      </c>
      <c r="AL52" s="23">
        <f t="shared" si="35"/>
        <v>0</v>
      </c>
      <c r="AN52" s="23">
        <v>21</v>
      </c>
      <c r="AO52" s="23">
        <f>G52*0.934347107</f>
        <v>0</v>
      </c>
      <c r="AP52" s="23">
        <f>G52*(1-0.934347107)</f>
        <v>0</v>
      </c>
      <c r="AQ52" s="25" t="s">
        <v>94</v>
      </c>
      <c r="AV52" s="23">
        <f t="shared" si="36"/>
        <v>0</v>
      </c>
      <c r="AW52" s="23">
        <f t="shared" si="37"/>
        <v>0</v>
      </c>
      <c r="AX52" s="23">
        <f t="shared" si="38"/>
        <v>0</v>
      </c>
      <c r="AY52" s="25" t="s">
        <v>137</v>
      </c>
      <c r="AZ52" s="25" t="s">
        <v>123</v>
      </c>
      <c r="BA52" s="8" t="s">
        <v>62</v>
      </c>
      <c r="BC52" s="23">
        <f t="shared" si="39"/>
        <v>0</v>
      </c>
      <c r="BD52" s="23">
        <f t="shared" si="40"/>
        <v>0</v>
      </c>
      <c r="BE52" s="23">
        <v>0</v>
      </c>
      <c r="BF52" s="23">
        <f>52</f>
        <v>52</v>
      </c>
      <c r="BH52" s="23">
        <f t="shared" si="41"/>
        <v>0</v>
      </c>
      <c r="BI52" s="23">
        <f t="shared" si="42"/>
        <v>0</v>
      </c>
      <c r="BJ52" s="23">
        <f t="shared" si="43"/>
        <v>0</v>
      </c>
      <c r="BK52" s="23"/>
      <c r="BL52" s="23">
        <v>722</v>
      </c>
      <c r="BW52" s="23">
        <v>21</v>
      </c>
    </row>
    <row r="53" spans="1:75" ht="13.5" customHeight="1" x14ac:dyDescent="0.25">
      <c r="A53" s="2" t="s">
        <v>74</v>
      </c>
      <c r="B53" s="3" t="s">
        <v>182</v>
      </c>
      <c r="C53" s="80" t="s">
        <v>183</v>
      </c>
      <c r="D53" s="75"/>
      <c r="E53" s="3" t="s">
        <v>68</v>
      </c>
      <c r="F53" s="23">
        <v>3</v>
      </c>
      <c r="G53" s="23">
        <v>0</v>
      </c>
      <c r="H53" s="23">
        <f t="shared" si="22"/>
        <v>0</v>
      </c>
      <c r="I53" s="23">
        <f t="shared" si="23"/>
        <v>0</v>
      </c>
      <c r="J53" s="23">
        <f t="shared" si="24"/>
        <v>0</v>
      </c>
      <c r="K53" s="23">
        <v>0</v>
      </c>
      <c r="L53" s="24">
        <v>0</v>
      </c>
      <c r="Z53" s="23">
        <f t="shared" si="25"/>
        <v>0</v>
      </c>
      <c r="AB53" s="23">
        <f t="shared" si="26"/>
        <v>0</v>
      </c>
      <c r="AC53" s="23">
        <f t="shared" si="27"/>
        <v>0</v>
      </c>
      <c r="AD53" s="23">
        <f t="shared" si="28"/>
        <v>0</v>
      </c>
      <c r="AE53" s="23">
        <f t="shared" si="29"/>
        <v>0</v>
      </c>
      <c r="AF53" s="23">
        <f t="shared" si="30"/>
        <v>0</v>
      </c>
      <c r="AG53" s="23">
        <f t="shared" si="31"/>
        <v>0</v>
      </c>
      <c r="AH53" s="23">
        <f t="shared" si="32"/>
        <v>0</v>
      </c>
      <c r="AI53" s="8" t="s">
        <v>53</v>
      </c>
      <c r="AJ53" s="23">
        <f t="shared" si="33"/>
        <v>0</v>
      </c>
      <c r="AK53" s="23">
        <f t="shared" si="34"/>
        <v>0</v>
      </c>
      <c r="AL53" s="23">
        <f t="shared" si="35"/>
        <v>0</v>
      </c>
      <c r="AN53" s="23">
        <v>21</v>
      </c>
      <c r="AO53" s="23">
        <f>G53*0.944488501</f>
        <v>0</v>
      </c>
      <c r="AP53" s="23">
        <f>G53*(1-0.944488501)</f>
        <v>0</v>
      </c>
      <c r="AQ53" s="25" t="s">
        <v>94</v>
      </c>
      <c r="AV53" s="23">
        <f t="shared" si="36"/>
        <v>0</v>
      </c>
      <c r="AW53" s="23">
        <f t="shared" si="37"/>
        <v>0</v>
      </c>
      <c r="AX53" s="23">
        <f t="shared" si="38"/>
        <v>0</v>
      </c>
      <c r="AY53" s="25" t="s">
        <v>137</v>
      </c>
      <c r="AZ53" s="25" t="s">
        <v>123</v>
      </c>
      <c r="BA53" s="8" t="s">
        <v>62</v>
      </c>
      <c r="BC53" s="23">
        <f t="shared" si="39"/>
        <v>0</v>
      </c>
      <c r="BD53" s="23">
        <f t="shared" si="40"/>
        <v>0</v>
      </c>
      <c r="BE53" s="23">
        <v>0</v>
      </c>
      <c r="BF53" s="23">
        <f>53</f>
        <v>53</v>
      </c>
      <c r="BH53" s="23">
        <f t="shared" si="41"/>
        <v>0</v>
      </c>
      <c r="BI53" s="23">
        <f t="shared" si="42"/>
        <v>0</v>
      </c>
      <c r="BJ53" s="23">
        <f t="shared" si="43"/>
        <v>0</v>
      </c>
      <c r="BK53" s="23"/>
      <c r="BL53" s="23">
        <v>722</v>
      </c>
      <c r="BW53" s="23">
        <v>21</v>
      </c>
    </row>
    <row r="54" spans="1:75" ht="13.5" customHeight="1" x14ac:dyDescent="0.25">
      <c r="A54" s="2" t="s">
        <v>184</v>
      </c>
      <c r="B54" s="3" t="s">
        <v>185</v>
      </c>
      <c r="C54" s="80" t="s">
        <v>186</v>
      </c>
      <c r="D54" s="75"/>
      <c r="E54" s="3" t="s">
        <v>68</v>
      </c>
      <c r="F54" s="23">
        <v>1</v>
      </c>
      <c r="G54" s="23">
        <v>0</v>
      </c>
      <c r="H54" s="23">
        <f t="shared" si="22"/>
        <v>0</v>
      </c>
      <c r="I54" s="23">
        <f t="shared" si="23"/>
        <v>0</v>
      </c>
      <c r="J54" s="23">
        <f t="shared" si="24"/>
        <v>0</v>
      </c>
      <c r="K54" s="23">
        <v>0</v>
      </c>
      <c r="L54" s="24">
        <v>0</v>
      </c>
      <c r="Z54" s="23">
        <f t="shared" si="25"/>
        <v>0</v>
      </c>
      <c r="AB54" s="23">
        <f t="shared" si="26"/>
        <v>0</v>
      </c>
      <c r="AC54" s="23">
        <f t="shared" si="27"/>
        <v>0</v>
      </c>
      <c r="AD54" s="23">
        <f t="shared" si="28"/>
        <v>0</v>
      </c>
      <c r="AE54" s="23">
        <f t="shared" si="29"/>
        <v>0</v>
      </c>
      <c r="AF54" s="23">
        <f t="shared" si="30"/>
        <v>0</v>
      </c>
      <c r="AG54" s="23">
        <f t="shared" si="31"/>
        <v>0</v>
      </c>
      <c r="AH54" s="23">
        <f t="shared" si="32"/>
        <v>0</v>
      </c>
      <c r="AI54" s="8" t="s">
        <v>53</v>
      </c>
      <c r="AJ54" s="23">
        <f t="shared" si="33"/>
        <v>0</v>
      </c>
      <c r="AK54" s="23">
        <f t="shared" si="34"/>
        <v>0</v>
      </c>
      <c r="AL54" s="23">
        <f t="shared" si="35"/>
        <v>0</v>
      </c>
      <c r="AN54" s="23">
        <v>21</v>
      </c>
      <c r="AO54" s="23">
        <f t="shared" ref="AO54:AO63" si="44">G54*0</f>
        <v>0</v>
      </c>
      <c r="AP54" s="23">
        <f t="shared" ref="AP54:AP63" si="45">G54*(1-0)</f>
        <v>0</v>
      </c>
      <c r="AQ54" s="25" t="s">
        <v>94</v>
      </c>
      <c r="AV54" s="23">
        <f t="shared" si="36"/>
        <v>0</v>
      </c>
      <c r="AW54" s="23">
        <f t="shared" si="37"/>
        <v>0</v>
      </c>
      <c r="AX54" s="23">
        <f t="shared" si="38"/>
        <v>0</v>
      </c>
      <c r="AY54" s="25" t="s">
        <v>137</v>
      </c>
      <c r="AZ54" s="25" t="s">
        <v>123</v>
      </c>
      <c r="BA54" s="8" t="s">
        <v>62</v>
      </c>
      <c r="BC54" s="23">
        <f t="shared" si="39"/>
        <v>0</v>
      </c>
      <c r="BD54" s="23">
        <f t="shared" si="40"/>
        <v>0</v>
      </c>
      <c r="BE54" s="23">
        <v>0</v>
      </c>
      <c r="BF54" s="23">
        <f>54</f>
        <v>54</v>
      </c>
      <c r="BH54" s="23">
        <f t="shared" si="41"/>
        <v>0</v>
      </c>
      <c r="BI54" s="23">
        <f t="shared" si="42"/>
        <v>0</v>
      </c>
      <c r="BJ54" s="23">
        <f t="shared" si="43"/>
        <v>0</v>
      </c>
      <c r="BK54" s="23"/>
      <c r="BL54" s="23">
        <v>722</v>
      </c>
      <c r="BW54" s="23">
        <v>21</v>
      </c>
    </row>
    <row r="55" spans="1:75" ht="13.5" customHeight="1" x14ac:dyDescent="0.25">
      <c r="A55" s="2" t="s">
        <v>187</v>
      </c>
      <c r="B55" s="3" t="s">
        <v>188</v>
      </c>
      <c r="C55" s="80" t="s">
        <v>189</v>
      </c>
      <c r="D55" s="75"/>
      <c r="E55" s="3" t="s">
        <v>68</v>
      </c>
      <c r="F55" s="23">
        <v>1</v>
      </c>
      <c r="G55" s="23">
        <v>0</v>
      </c>
      <c r="H55" s="23">
        <f t="shared" si="22"/>
        <v>0</v>
      </c>
      <c r="I55" s="23">
        <f t="shared" si="23"/>
        <v>0</v>
      </c>
      <c r="J55" s="23">
        <f t="shared" si="24"/>
        <v>0</v>
      </c>
      <c r="K55" s="23">
        <v>0</v>
      </c>
      <c r="L55" s="24">
        <v>0</v>
      </c>
      <c r="Z55" s="23">
        <f t="shared" si="25"/>
        <v>0</v>
      </c>
      <c r="AB55" s="23">
        <f t="shared" si="26"/>
        <v>0</v>
      </c>
      <c r="AC55" s="23">
        <f t="shared" si="27"/>
        <v>0</v>
      </c>
      <c r="AD55" s="23">
        <f t="shared" si="28"/>
        <v>0</v>
      </c>
      <c r="AE55" s="23">
        <f t="shared" si="29"/>
        <v>0</v>
      </c>
      <c r="AF55" s="23">
        <f t="shared" si="30"/>
        <v>0</v>
      </c>
      <c r="AG55" s="23">
        <f t="shared" si="31"/>
        <v>0</v>
      </c>
      <c r="AH55" s="23">
        <f t="shared" si="32"/>
        <v>0</v>
      </c>
      <c r="AI55" s="8" t="s">
        <v>53</v>
      </c>
      <c r="AJ55" s="23">
        <f t="shared" si="33"/>
        <v>0</v>
      </c>
      <c r="AK55" s="23">
        <f t="shared" si="34"/>
        <v>0</v>
      </c>
      <c r="AL55" s="23">
        <f t="shared" si="35"/>
        <v>0</v>
      </c>
      <c r="AN55" s="23">
        <v>21</v>
      </c>
      <c r="AO55" s="23">
        <f t="shared" si="44"/>
        <v>0</v>
      </c>
      <c r="AP55" s="23">
        <f t="shared" si="45"/>
        <v>0</v>
      </c>
      <c r="AQ55" s="25" t="s">
        <v>94</v>
      </c>
      <c r="AV55" s="23">
        <f t="shared" si="36"/>
        <v>0</v>
      </c>
      <c r="AW55" s="23">
        <f t="shared" si="37"/>
        <v>0</v>
      </c>
      <c r="AX55" s="23">
        <f t="shared" si="38"/>
        <v>0</v>
      </c>
      <c r="AY55" s="25" t="s">
        <v>137</v>
      </c>
      <c r="AZ55" s="25" t="s">
        <v>123</v>
      </c>
      <c r="BA55" s="8" t="s">
        <v>62</v>
      </c>
      <c r="BC55" s="23">
        <f t="shared" si="39"/>
        <v>0</v>
      </c>
      <c r="BD55" s="23">
        <f t="shared" si="40"/>
        <v>0</v>
      </c>
      <c r="BE55" s="23">
        <v>0</v>
      </c>
      <c r="BF55" s="23">
        <f>55</f>
        <v>55</v>
      </c>
      <c r="BH55" s="23">
        <f t="shared" si="41"/>
        <v>0</v>
      </c>
      <c r="BI55" s="23">
        <f t="shared" si="42"/>
        <v>0</v>
      </c>
      <c r="BJ55" s="23">
        <f t="shared" si="43"/>
        <v>0</v>
      </c>
      <c r="BK55" s="23"/>
      <c r="BL55" s="23">
        <v>722</v>
      </c>
      <c r="BW55" s="23">
        <v>21</v>
      </c>
    </row>
    <row r="56" spans="1:75" ht="13.5" customHeight="1" x14ac:dyDescent="0.25">
      <c r="A56" s="2" t="s">
        <v>190</v>
      </c>
      <c r="B56" s="3" t="s">
        <v>191</v>
      </c>
      <c r="C56" s="80" t="s">
        <v>192</v>
      </c>
      <c r="D56" s="75"/>
      <c r="E56" s="3" t="s">
        <v>68</v>
      </c>
      <c r="F56" s="23">
        <v>1</v>
      </c>
      <c r="G56" s="23">
        <v>0</v>
      </c>
      <c r="H56" s="23">
        <f t="shared" si="22"/>
        <v>0</v>
      </c>
      <c r="I56" s="23">
        <f t="shared" si="23"/>
        <v>0</v>
      </c>
      <c r="J56" s="23">
        <f t="shared" si="24"/>
        <v>0</v>
      </c>
      <c r="K56" s="23">
        <v>0</v>
      </c>
      <c r="L56" s="24">
        <v>0</v>
      </c>
      <c r="Z56" s="23">
        <f t="shared" si="25"/>
        <v>0</v>
      </c>
      <c r="AB56" s="23">
        <f t="shared" si="26"/>
        <v>0</v>
      </c>
      <c r="AC56" s="23">
        <f t="shared" si="27"/>
        <v>0</v>
      </c>
      <c r="AD56" s="23">
        <f t="shared" si="28"/>
        <v>0</v>
      </c>
      <c r="AE56" s="23">
        <f t="shared" si="29"/>
        <v>0</v>
      </c>
      <c r="AF56" s="23">
        <f t="shared" si="30"/>
        <v>0</v>
      </c>
      <c r="AG56" s="23">
        <f t="shared" si="31"/>
        <v>0</v>
      </c>
      <c r="AH56" s="23">
        <f t="shared" si="32"/>
        <v>0</v>
      </c>
      <c r="AI56" s="8" t="s">
        <v>53</v>
      </c>
      <c r="AJ56" s="23">
        <f t="shared" si="33"/>
        <v>0</v>
      </c>
      <c r="AK56" s="23">
        <f t="shared" si="34"/>
        <v>0</v>
      </c>
      <c r="AL56" s="23">
        <f t="shared" si="35"/>
        <v>0</v>
      </c>
      <c r="AN56" s="23">
        <v>21</v>
      </c>
      <c r="AO56" s="23">
        <f t="shared" si="44"/>
        <v>0</v>
      </c>
      <c r="AP56" s="23">
        <f t="shared" si="45"/>
        <v>0</v>
      </c>
      <c r="AQ56" s="25" t="s">
        <v>94</v>
      </c>
      <c r="AV56" s="23">
        <f t="shared" si="36"/>
        <v>0</v>
      </c>
      <c r="AW56" s="23">
        <f t="shared" si="37"/>
        <v>0</v>
      </c>
      <c r="AX56" s="23">
        <f t="shared" si="38"/>
        <v>0</v>
      </c>
      <c r="AY56" s="25" t="s">
        <v>137</v>
      </c>
      <c r="AZ56" s="25" t="s">
        <v>123</v>
      </c>
      <c r="BA56" s="8" t="s">
        <v>62</v>
      </c>
      <c r="BC56" s="23">
        <f t="shared" si="39"/>
        <v>0</v>
      </c>
      <c r="BD56" s="23">
        <f t="shared" si="40"/>
        <v>0</v>
      </c>
      <c r="BE56" s="23">
        <v>0</v>
      </c>
      <c r="BF56" s="23">
        <f>56</f>
        <v>56</v>
      </c>
      <c r="BH56" s="23">
        <f t="shared" si="41"/>
        <v>0</v>
      </c>
      <c r="BI56" s="23">
        <f t="shared" si="42"/>
        <v>0</v>
      </c>
      <c r="BJ56" s="23">
        <f t="shared" si="43"/>
        <v>0</v>
      </c>
      <c r="BK56" s="23"/>
      <c r="BL56" s="23">
        <v>722</v>
      </c>
      <c r="BW56" s="23">
        <v>21</v>
      </c>
    </row>
    <row r="57" spans="1:75" ht="13.5" customHeight="1" x14ac:dyDescent="0.25">
      <c r="A57" s="2" t="s">
        <v>193</v>
      </c>
      <c r="B57" s="3" t="s">
        <v>194</v>
      </c>
      <c r="C57" s="80" t="s">
        <v>195</v>
      </c>
      <c r="D57" s="75"/>
      <c r="E57" s="3" t="s">
        <v>68</v>
      </c>
      <c r="F57" s="23">
        <v>3</v>
      </c>
      <c r="G57" s="23">
        <v>0</v>
      </c>
      <c r="H57" s="23">
        <f t="shared" si="22"/>
        <v>0</v>
      </c>
      <c r="I57" s="23">
        <f t="shared" si="23"/>
        <v>0</v>
      </c>
      <c r="J57" s="23">
        <f t="shared" si="24"/>
        <v>0</v>
      </c>
      <c r="K57" s="23">
        <v>0</v>
      </c>
      <c r="L57" s="24">
        <v>0</v>
      </c>
      <c r="Z57" s="23">
        <f t="shared" si="25"/>
        <v>0</v>
      </c>
      <c r="AB57" s="23">
        <f t="shared" si="26"/>
        <v>0</v>
      </c>
      <c r="AC57" s="23">
        <f t="shared" si="27"/>
        <v>0</v>
      </c>
      <c r="AD57" s="23">
        <f t="shared" si="28"/>
        <v>0</v>
      </c>
      <c r="AE57" s="23">
        <f t="shared" si="29"/>
        <v>0</v>
      </c>
      <c r="AF57" s="23">
        <f t="shared" si="30"/>
        <v>0</v>
      </c>
      <c r="AG57" s="23">
        <f t="shared" si="31"/>
        <v>0</v>
      </c>
      <c r="AH57" s="23">
        <f t="shared" si="32"/>
        <v>0</v>
      </c>
      <c r="AI57" s="8" t="s">
        <v>53</v>
      </c>
      <c r="AJ57" s="23">
        <f t="shared" si="33"/>
        <v>0</v>
      </c>
      <c r="AK57" s="23">
        <f t="shared" si="34"/>
        <v>0</v>
      </c>
      <c r="AL57" s="23">
        <f t="shared" si="35"/>
        <v>0</v>
      </c>
      <c r="AN57" s="23">
        <v>21</v>
      </c>
      <c r="AO57" s="23">
        <f t="shared" si="44"/>
        <v>0</v>
      </c>
      <c r="AP57" s="23">
        <f t="shared" si="45"/>
        <v>0</v>
      </c>
      <c r="AQ57" s="25" t="s">
        <v>94</v>
      </c>
      <c r="AV57" s="23">
        <f t="shared" si="36"/>
        <v>0</v>
      </c>
      <c r="AW57" s="23">
        <f t="shared" si="37"/>
        <v>0</v>
      </c>
      <c r="AX57" s="23">
        <f t="shared" si="38"/>
        <v>0</v>
      </c>
      <c r="AY57" s="25" t="s">
        <v>137</v>
      </c>
      <c r="AZ57" s="25" t="s">
        <v>123</v>
      </c>
      <c r="BA57" s="8" t="s">
        <v>62</v>
      </c>
      <c r="BC57" s="23">
        <f t="shared" si="39"/>
        <v>0</v>
      </c>
      <c r="BD57" s="23">
        <f t="shared" si="40"/>
        <v>0</v>
      </c>
      <c r="BE57" s="23">
        <v>0</v>
      </c>
      <c r="BF57" s="23">
        <f>57</f>
        <v>57</v>
      </c>
      <c r="BH57" s="23">
        <f t="shared" si="41"/>
        <v>0</v>
      </c>
      <c r="BI57" s="23">
        <f t="shared" si="42"/>
        <v>0</v>
      </c>
      <c r="BJ57" s="23">
        <f t="shared" si="43"/>
        <v>0</v>
      </c>
      <c r="BK57" s="23"/>
      <c r="BL57" s="23">
        <v>722</v>
      </c>
      <c r="BW57" s="23">
        <v>21</v>
      </c>
    </row>
    <row r="58" spans="1:75" ht="13.5" customHeight="1" x14ac:dyDescent="0.25">
      <c r="A58" s="2" t="s">
        <v>196</v>
      </c>
      <c r="B58" s="3" t="s">
        <v>197</v>
      </c>
      <c r="C58" s="80" t="s">
        <v>198</v>
      </c>
      <c r="D58" s="75"/>
      <c r="E58" s="3" t="s">
        <v>68</v>
      </c>
      <c r="F58" s="23">
        <v>1</v>
      </c>
      <c r="G58" s="23">
        <v>0</v>
      </c>
      <c r="H58" s="23">
        <f t="shared" si="22"/>
        <v>0</v>
      </c>
      <c r="I58" s="23">
        <f t="shared" si="23"/>
        <v>0</v>
      </c>
      <c r="J58" s="23">
        <f t="shared" si="24"/>
        <v>0</v>
      </c>
      <c r="K58" s="23">
        <v>0</v>
      </c>
      <c r="L58" s="24">
        <v>0</v>
      </c>
      <c r="Z58" s="23">
        <f t="shared" si="25"/>
        <v>0</v>
      </c>
      <c r="AB58" s="23">
        <f t="shared" si="26"/>
        <v>0</v>
      </c>
      <c r="AC58" s="23">
        <f t="shared" si="27"/>
        <v>0</v>
      </c>
      <c r="AD58" s="23">
        <f t="shared" si="28"/>
        <v>0</v>
      </c>
      <c r="AE58" s="23">
        <f t="shared" si="29"/>
        <v>0</v>
      </c>
      <c r="AF58" s="23">
        <f t="shared" si="30"/>
        <v>0</v>
      </c>
      <c r="AG58" s="23">
        <f t="shared" si="31"/>
        <v>0</v>
      </c>
      <c r="AH58" s="23">
        <f t="shared" si="32"/>
        <v>0</v>
      </c>
      <c r="AI58" s="8" t="s">
        <v>53</v>
      </c>
      <c r="AJ58" s="23">
        <f t="shared" si="33"/>
        <v>0</v>
      </c>
      <c r="AK58" s="23">
        <f t="shared" si="34"/>
        <v>0</v>
      </c>
      <c r="AL58" s="23">
        <f t="shared" si="35"/>
        <v>0</v>
      </c>
      <c r="AN58" s="23">
        <v>21</v>
      </c>
      <c r="AO58" s="23">
        <f t="shared" si="44"/>
        <v>0</v>
      </c>
      <c r="AP58" s="23">
        <f t="shared" si="45"/>
        <v>0</v>
      </c>
      <c r="AQ58" s="25" t="s">
        <v>94</v>
      </c>
      <c r="AV58" s="23">
        <f t="shared" si="36"/>
        <v>0</v>
      </c>
      <c r="AW58" s="23">
        <f t="shared" si="37"/>
        <v>0</v>
      </c>
      <c r="AX58" s="23">
        <f t="shared" si="38"/>
        <v>0</v>
      </c>
      <c r="AY58" s="25" t="s">
        <v>137</v>
      </c>
      <c r="AZ58" s="25" t="s">
        <v>123</v>
      </c>
      <c r="BA58" s="8" t="s">
        <v>62</v>
      </c>
      <c r="BC58" s="23">
        <f t="shared" si="39"/>
        <v>0</v>
      </c>
      <c r="BD58" s="23">
        <f t="shared" si="40"/>
        <v>0</v>
      </c>
      <c r="BE58" s="23">
        <v>0</v>
      </c>
      <c r="BF58" s="23">
        <f>58</f>
        <v>58</v>
      </c>
      <c r="BH58" s="23">
        <f t="shared" si="41"/>
        <v>0</v>
      </c>
      <c r="BI58" s="23">
        <f t="shared" si="42"/>
        <v>0</v>
      </c>
      <c r="BJ58" s="23">
        <f t="shared" si="43"/>
        <v>0</v>
      </c>
      <c r="BK58" s="23"/>
      <c r="BL58" s="23">
        <v>722</v>
      </c>
      <c r="BW58" s="23">
        <v>21</v>
      </c>
    </row>
    <row r="59" spans="1:75" ht="13.5" customHeight="1" x14ac:dyDescent="0.25">
      <c r="A59" s="2" t="s">
        <v>199</v>
      </c>
      <c r="B59" s="3" t="s">
        <v>200</v>
      </c>
      <c r="C59" s="80" t="s">
        <v>201</v>
      </c>
      <c r="D59" s="75"/>
      <c r="E59" s="3" t="s">
        <v>68</v>
      </c>
      <c r="F59" s="23">
        <v>3</v>
      </c>
      <c r="G59" s="23">
        <v>0</v>
      </c>
      <c r="H59" s="23">
        <f t="shared" si="22"/>
        <v>0</v>
      </c>
      <c r="I59" s="23">
        <f t="shared" si="23"/>
        <v>0</v>
      </c>
      <c r="J59" s="23">
        <f t="shared" si="24"/>
        <v>0</v>
      </c>
      <c r="K59" s="23">
        <v>0</v>
      </c>
      <c r="L59" s="24">
        <v>0</v>
      </c>
      <c r="Z59" s="23">
        <f t="shared" si="25"/>
        <v>0</v>
      </c>
      <c r="AB59" s="23">
        <f t="shared" si="26"/>
        <v>0</v>
      </c>
      <c r="AC59" s="23">
        <f t="shared" si="27"/>
        <v>0</v>
      </c>
      <c r="AD59" s="23">
        <f t="shared" si="28"/>
        <v>0</v>
      </c>
      <c r="AE59" s="23">
        <f t="shared" si="29"/>
        <v>0</v>
      </c>
      <c r="AF59" s="23">
        <f t="shared" si="30"/>
        <v>0</v>
      </c>
      <c r="AG59" s="23">
        <f t="shared" si="31"/>
        <v>0</v>
      </c>
      <c r="AH59" s="23">
        <f t="shared" si="32"/>
        <v>0</v>
      </c>
      <c r="AI59" s="8" t="s">
        <v>53</v>
      </c>
      <c r="AJ59" s="23">
        <f t="shared" si="33"/>
        <v>0</v>
      </c>
      <c r="AK59" s="23">
        <f t="shared" si="34"/>
        <v>0</v>
      </c>
      <c r="AL59" s="23">
        <f t="shared" si="35"/>
        <v>0</v>
      </c>
      <c r="AN59" s="23">
        <v>21</v>
      </c>
      <c r="AO59" s="23">
        <f t="shared" si="44"/>
        <v>0</v>
      </c>
      <c r="AP59" s="23">
        <f t="shared" si="45"/>
        <v>0</v>
      </c>
      <c r="AQ59" s="25" t="s">
        <v>94</v>
      </c>
      <c r="AV59" s="23">
        <f t="shared" si="36"/>
        <v>0</v>
      </c>
      <c r="AW59" s="23">
        <f t="shared" si="37"/>
        <v>0</v>
      </c>
      <c r="AX59" s="23">
        <f t="shared" si="38"/>
        <v>0</v>
      </c>
      <c r="AY59" s="25" t="s">
        <v>137</v>
      </c>
      <c r="AZ59" s="25" t="s">
        <v>123</v>
      </c>
      <c r="BA59" s="8" t="s">
        <v>62</v>
      </c>
      <c r="BC59" s="23">
        <f t="shared" si="39"/>
        <v>0</v>
      </c>
      <c r="BD59" s="23">
        <f t="shared" si="40"/>
        <v>0</v>
      </c>
      <c r="BE59" s="23">
        <v>0</v>
      </c>
      <c r="BF59" s="23">
        <f>59</f>
        <v>59</v>
      </c>
      <c r="BH59" s="23">
        <f t="shared" si="41"/>
        <v>0</v>
      </c>
      <c r="BI59" s="23">
        <f t="shared" si="42"/>
        <v>0</v>
      </c>
      <c r="BJ59" s="23">
        <f t="shared" si="43"/>
        <v>0</v>
      </c>
      <c r="BK59" s="23"/>
      <c r="BL59" s="23">
        <v>722</v>
      </c>
      <c r="BW59" s="23">
        <v>21</v>
      </c>
    </row>
    <row r="60" spans="1:75" ht="13.5" customHeight="1" x14ac:dyDescent="0.25">
      <c r="A60" s="2" t="s">
        <v>202</v>
      </c>
      <c r="B60" s="3" t="s">
        <v>203</v>
      </c>
      <c r="C60" s="80" t="s">
        <v>204</v>
      </c>
      <c r="D60" s="75"/>
      <c r="E60" s="3" t="s">
        <v>68</v>
      </c>
      <c r="F60" s="23">
        <v>1</v>
      </c>
      <c r="G60" s="23">
        <v>0</v>
      </c>
      <c r="H60" s="23">
        <f t="shared" si="22"/>
        <v>0</v>
      </c>
      <c r="I60" s="23">
        <f t="shared" si="23"/>
        <v>0</v>
      </c>
      <c r="J60" s="23">
        <f t="shared" si="24"/>
        <v>0</v>
      </c>
      <c r="K60" s="23">
        <v>0</v>
      </c>
      <c r="L60" s="24">
        <v>0</v>
      </c>
      <c r="Z60" s="23">
        <f t="shared" si="25"/>
        <v>0</v>
      </c>
      <c r="AB60" s="23">
        <f t="shared" si="26"/>
        <v>0</v>
      </c>
      <c r="AC60" s="23">
        <f t="shared" si="27"/>
        <v>0</v>
      </c>
      <c r="AD60" s="23">
        <f t="shared" si="28"/>
        <v>0</v>
      </c>
      <c r="AE60" s="23">
        <f t="shared" si="29"/>
        <v>0</v>
      </c>
      <c r="AF60" s="23">
        <f t="shared" si="30"/>
        <v>0</v>
      </c>
      <c r="AG60" s="23">
        <f t="shared" si="31"/>
        <v>0</v>
      </c>
      <c r="AH60" s="23">
        <f t="shared" si="32"/>
        <v>0</v>
      </c>
      <c r="AI60" s="8" t="s">
        <v>53</v>
      </c>
      <c r="AJ60" s="23">
        <f t="shared" si="33"/>
        <v>0</v>
      </c>
      <c r="AK60" s="23">
        <f t="shared" si="34"/>
        <v>0</v>
      </c>
      <c r="AL60" s="23">
        <f t="shared" si="35"/>
        <v>0</v>
      </c>
      <c r="AN60" s="23">
        <v>21</v>
      </c>
      <c r="AO60" s="23">
        <f t="shared" si="44"/>
        <v>0</v>
      </c>
      <c r="AP60" s="23">
        <f t="shared" si="45"/>
        <v>0</v>
      </c>
      <c r="AQ60" s="25" t="s">
        <v>94</v>
      </c>
      <c r="AV60" s="23">
        <f t="shared" si="36"/>
        <v>0</v>
      </c>
      <c r="AW60" s="23">
        <f t="shared" si="37"/>
        <v>0</v>
      </c>
      <c r="AX60" s="23">
        <f t="shared" si="38"/>
        <v>0</v>
      </c>
      <c r="AY60" s="25" t="s">
        <v>137</v>
      </c>
      <c r="AZ60" s="25" t="s">
        <v>123</v>
      </c>
      <c r="BA60" s="8" t="s">
        <v>62</v>
      </c>
      <c r="BC60" s="23">
        <f t="shared" si="39"/>
        <v>0</v>
      </c>
      <c r="BD60" s="23">
        <f t="shared" si="40"/>
        <v>0</v>
      </c>
      <c r="BE60" s="23">
        <v>0</v>
      </c>
      <c r="BF60" s="23">
        <f>60</f>
        <v>60</v>
      </c>
      <c r="BH60" s="23">
        <f t="shared" si="41"/>
        <v>0</v>
      </c>
      <c r="BI60" s="23">
        <f t="shared" si="42"/>
        <v>0</v>
      </c>
      <c r="BJ60" s="23">
        <f t="shared" si="43"/>
        <v>0</v>
      </c>
      <c r="BK60" s="23"/>
      <c r="BL60" s="23">
        <v>722</v>
      </c>
      <c r="BW60" s="23">
        <v>21</v>
      </c>
    </row>
    <row r="61" spans="1:75" ht="13.5" customHeight="1" x14ac:dyDescent="0.25">
      <c r="A61" s="2" t="s">
        <v>205</v>
      </c>
      <c r="B61" s="3" t="s">
        <v>206</v>
      </c>
      <c r="C61" s="80" t="s">
        <v>207</v>
      </c>
      <c r="D61" s="75"/>
      <c r="E61" s="3" t="s">
        <v>68</v>
      </c>
      <c r="F61" s="23">
        <v>1</v>
      </c>
      <c r="G61" s="23">
        <v>0</v>
      </c>
      <c r="H61" s="23">
        <f t="shared" si="22"/>
        <v>0</v>
      </c>
      <c r="I61" s="23">
        <f t="shared" si="23"/>
        <v>0</v>
      </c>
      <c r="J61" s="23">
        <f t="shared" si="24"/>
        <v>0</v>
      </c>
      <c r="K61" s="23">
        <v>0</v>
      </c>
      <c r="L61" s="24">
        <v>0</v>
      </c>
      <c r="Z61" s="23">
        <f t="shared" si="25"/>
        <v>0</v>
      </c>
      <c r="AB61" s="23">
        <f t="shared" si="26"/>
        <v>0</v>
      </c>
      <c r="AC61" s="23">
        <f t="shared" si="27"/>
        <v>0</v>
      </c>
      <c r="AD61" s="23">
        <f t="shared" si="28"/>
        <v>0</v>
      </c>
      <c r="AE61" s="23">
        <f t="shared" si="29"/>
        <v>0</v>
      </c>
      <c r="AF61" s="23">
        <f t="shared" si="30"/>
        <v>0</v>
      </c>
      <c r="AG61" s="23">
        <f t="shared" si="31"/>
        <v>0</v>
      </c>
      <c r="AH61" s="23">
        <f t="shared" si="32"/>
        <v>0</v>
      </c>
      <c r="AI61" s="8" t="s">
        <v>53</v>
      </c>
      <c r="AJ61" s="23">
        <f t="shared" si="33"/>
        <v>0</v>
      </c>
      <c r="AK61" s="23">
        <f t="shared" si="34"/>
        <v>0</v>
      </c>
      <c r="AL61" s="23">
        <f t="shared" si="35"/>
        <v>0</v>
      </c>
      <c r="AN61" s="23">
        <v>21</v>
      </c>
      <c r="AO61" s="23">
        <f t="shared" si="44"/>
        <v>0</v>
      </c>
      <c r="AP61" s="23">
        <f t="shared" si="45"/>
        <v>0</v>
      </c>
      <c r="AQ61" s="25" t="s">
        <v>94</v>
      </c>
      <c r="AV61" s="23">
        <f t="shared" si="36"/>
        <v>0</v>
      </c>
      <c r="AW61" s="23">
        <f t="shared" si="37"/>
        <v>0</v>
      </c>
      <c r="AX61" s="23">
        <f t="shared" si="38"/>
        <v>0</v>
      </c>
      <c r="AY61" s="25" t="s">
        <v>137</v>
      </c>
      <c r="AZ61" s="25" t="s">
        <v>123</v>
      </c>
      <c r="BA61" s="8" t="s">
        <v>62</v>
      </c>
      <c r="BC61" s="23">
        <f t="shared" si="39"/>
        <v>0</v>
      </c>
      <c r="BD61" s="23">
        <f t="shared" si="40"/>
        <v>0</v>
      </c>
      <c r="BE61" s="23">
        <v>0</v>
      </c>
      <c r="BF61" s="23">
        <f>61</f>
        <v>61</v>
      </c>
      <c r="BH61" s="23">
        <f t="shared" si="41"/>
        <v>0</v>
      </c>
      <c r="BI61" s="23">
        <f t="shared" si="42"/>
        <v>0</v>
      </c>
      <c r="BJ61" s="23">
        <f t="shared" si="43"/>
        <v>0</v>
      </c>
      <c r="BK61" s="23"/>
      <c r="BL61" s="23">
        <v>722</v>
      </c>
      <c r="BW61" s="23">
        <v>21</v>
      </c>
    </row>
    <row r="62" spans="1:75" ht="13.5" customHeight="1" x14ac:dyDescent="0.25">
      <c r="A62" s="2" t="s">
        <v>208</v>
      </c>
      <c r="B62" s="3" t="s">
        <v>209</v>
      </c>
      <c r="C62" s="80" t="s">
        <v>210</v>
      </c>
      <c r="D62" s="75"/>
      <c r="E62" s="3" t="s">
        <v>68</v>
      </c>
      <c r="F62" s="23">
        <v>1</v>
      </c>
      <c r="G62" s="23">
        <v>0</v>
      </c>
      <c r="H62" s="23">
        <f t="shared" si="22"/>
        <v>0</v>
      </c>
      <c r="I62" s="23">
        <f t="shared" si="23"/>
        <v>0</v>
      </c>
      <c r="J62" s="23">
        <f t="shared" si="24"/>
        <v>0</v>
      </c>
      <c r="K62" s="23">
        <v>0</v>
      </c>
      <c r="L62" s="24">
        <v>0</v>
      </c>
      <c r="Z62" s="23">
        <f t="shared" si="25"/>
        <v>0</v>
      </c>
      <c r="AB62" s="23">
        <f t="shared" si="26"/>
        <v>0</v>
      </c>
      <c r="AC62" s="23">
        <f t="shared" si="27"/>
        <v>0</v>
      </c>
      <c r="AD62" s="23">
        <f t="shared" si="28"/>
        <v>0</v>
      </c>
      <c r="AE62" s="23">
        <f t="shared" si="29"/>
        <v>0</v>
      </c>
      <c r="AF62" s="23">
        <f t="shared" si="30"/>
        <v>0</v>
      </c>
      <c r="AG62" s="23">
        <f t="shared" si="31"/>
        <v>0</v>
      </c>
      <c r="AH62" s="23">
        <f t="shared" si="32"/>
        <v>0</v>
      </c>
      <c r="AI62" s="8" t="s">
        <v>53</v>
      </c>
      <c r="AJ62" s="23">
        <f t="shared" si="33"/>
        <v>0</v>
      </c>
      <c r="AK62" s="23">
        <f t="shared" si="34"/>
        <v>0</v>
      </c>
      <c r="AL62" s="23">
        <f t="shared" si="35"/>
        <v>0</v>
      </c>
      <c r="AN62" s="23">
        <v>21</v>
      </c>
      <c r="AO62" s="23">
        <f t="shared" si="44"/>
        <v>0</v>
      </c>
      <c r="AP62" s="23">
        <f t="shared" si="45"/>
        <v>0</v>
      </c>
      <c r="AQ62" s="25" t="s">
        <v>94</v>
      </c>
      <c r="AV62" s="23">
        <f t="shared" si="36"/>
        <v>0</v>
      </c>
      <c r="AW62" s="23">
        <f t="shared" si="37"/>
        <v>0</v>
      </c>
      <c r="AX62" s="23">
        <f t="shared" si="38"/>
        <v>0</v>
      </c>
      <c r="AY62" s="25" t="s">
        <v>137</v>
      </c>
      <c r="AZ62" s="25" t="s">
        <v>123</v>
      </c>
      <c r="BA62" s="8" t="s">
        <v>62</v>
      </c>
      <c r="BC62" s="23">
        <f t="shared" si="39"/>
        <v>0</v>
      </c>
      <c r="BD62" s="23">
        <f t="shared" si="40"/>
        <v>0</v>
      </c>
      <c r="BE62" s="23">
        <v>0</v>
      </c>
      <c r="BF62" s="23">
        <f>62</f>
        <v>62</v>
      </c>
      <c r="BH62" s="23">
        <f t="shared" si="41"/>
        <v>0</v>
      </c>
      <c r="BI62" s="23">
        <f t="shared" si="42"/>
        <v>0</v>
      </c>
      <c r="BJ62" s="23">
        <f t="shared" si="43"/>
        <v>0</v>
      </c>
      <c r="BK62" s="23"/>
      <c r="BL62" s="23">
        <v>722</v>
      </c>
      <c r="BW62" s="23">
        <v>21</v>
      </c>
    </row>
    <row r="63" spans="1:75" ht="13.5" customHeight="1" x14ac:dyDescent="0.25">
      <c r="A63" s="2" t="s">
        <v>211</v>
      </c>
      <c r="B63" s="3" t="s">
        <v>212</v>
      </c>
      <c r="C63" s="80" t="s">
        <v>213</v>
      </c>
      <c r="D63" s="75"/>
      <c r="E63" s="3" t="s">
        <v>68</v>
      </c>
      <c r="F63" s="23">
        <v>9</v>
      </c>
      <c r="G63" s="23">
        <v>0</v>
      </c>
      <c r="H63" s="23">
        <f t="shared" si="22"/>
        <v>0</v>
      </c>
      <c r="I63" s="23">
        <f t="shared" si="23"/>
        <v>0</v>
      </c>
      <c r="J63" s="23">
        <f t="shared" si="24"/>
        <v>0</v>
      </c>
      <c r="K63" s="23">
        <v>0</v>
      </c>
      <c r="L63" s="24">
        <v>1.23E-3</v>
      </c>
      <c r="Z63" s="23">
        <f t="shared" si="25"/>
        <v>0</v>
      </c>
      <c r="AB63" s="23">
        <f t="shared" si="26"/>
        <v>0</v>
      </c>
      <c r="AC63" s="23">
        <f t="shared" si="27"/>
        <v>0</v>
      </c>
      <c r="AD63" s="23">
        <f t="shared" si="28"/>
        <v>0</v>
      </c>
      <c r="AE63" s="23">
        <f t="shared" si="29"/>
        <v>0</v>
      </c>
      <c r="AF63" s="23">
        <f t="shared" si="30"/>
        <v>0</v>
      </c>
      <c r="AG63" s="23">
        <f t="shared" si="31"/>
        <v>0</v>
      </c>
      <c r="AH63" s="23">
        <f t="shared" si="32"/>
        <v>0</v>
      </c>
      <c r="AI63" s="8" t="s">
        <v>53</v>
      </c>
      <c r="AJ63" s="23">
        <f t="shared" si="33"/>
        <v>0</v>
      </c>
      <c r="AK63" s="23">
        <f t="shared" si="34"/>
        <v>0</v>
      </c>
      <c r="AL63" s="23">
        <f t="shared" si="35"/>
        <v>0</v>
      </c>
      <c r="AN63" s="23">
        <v>21</v>
      </c>
      <c r="AO63" s="23">
        <f t="shared" si="44"/>
        <v>0</v>
      </c>
      <c r="AP63" s="23">
        <f t="shared" si="45"/>
        <v>0</v>
      </c>
      <c r="AQ63" s="25" t="s">
        <v>94</v>
      </c>
      <c r="AV63" s="23">
        <f t="shared" si="36"/>
        <v>0</v>
      </c>
      <c r="AW63" s="23">
        <f t="shared" si="37"/>
        <v>0</v>
      </c>
      <c r="AX63" s="23">
        <f t="shared" si="38"/>
        <v>0</v>
      </c>
      <c r="AY63" s="25" t="s">
        <v>137</v>
      </c>
      <c r="AZ63" s="25" t="s">
        <v>123</v>
      </c>
      <c r="BA63" s="8" t="s">
        <v>62</v>
      </c>
      <c r="BC63" s="23">
        <f t="shared" si="39"/>
        <v>0</v>
      </c>
      <c r="BD63" s="23">
        <f t="shared" si="40"/>
        <v>0</v>
      </c>
      <c r="BE63" s="23">
        <v>0</v>
      </c>
      <c r="BF63" s="23">
        <f>63</f>
        <v>63</v>
      </c>
      <c r="BH63" s="23">
        <f t="shared" si="41"/>
        <v>0</v>
      </c>
      <c r="BI63" s="23">
        <f t="shared" si="42"/>
        <v>0</v>
      </c>
      <c r="BJ63" s="23">
        <f t="shared" si="43"/>
        <v>0</v>
      </c>
      <c r="BK63" s="23"/>
      <c r="BL63" s="23">
        <v>722</v>
      </c>
      <c r="BW63" s="23">
        <v>21</v>
      </c>
    </row>
    <row r="64" spans="1:75" x14ac:dyDescent="0.25">
      <c r="A64" s="26" t="s">
        <v>53</v>
      </c>
      <c r="B64" s="27" t="s">
        <v>214</v>
      </c>
      <c r="C64" s="98" t="s">
        <v>215</v>
      </c>
      <c r="D64" s="99"/>
      <c r="E64" s="28" t="s">
        <v>10</v>
      </c>
      <c r="F64" s="28" t="s">
        <v>10</v>
      </c>
      <c r="G64" s="28" t="s">
        <v>10</v>
      </c>
      <c r="H64" s="1">
        <f>SUM(H65:H86)</f>
        <v>0</v>
      </c>
      <c r="I64" s="1">
        <f>SUM(I65:I86)</f>
        <v>0</v>
      </c>
      <c r="J64" s="1">
        <f>SUM(J65:J86)</f>
        <v>0</v>
      </c>
      <c r="K64" s="8" t="s">
        <v>53</v>
      </c>
      <c r="L64" s="29" t="s">
        <v>53</v>
      </c>
      <c r="AI64" s="8" t="s">
        <v>53</v>
      </c>
      <c r="AS64" s="1">
        <f>SUM(AJ65:AJ86)</f>
        <v>0</v>
      </c>
      <c r="AT64" s="1">
        <f>SUM(AK65:AK86)</f>
        <v>0</v>
      </c>
      <c r="AU64" s="1">
        <f>SUM(AL65:AL86)</f>
        <v>0</v>
      </c>
    </row>
    <row r="65" spans="1:75" ht="13.5" customHeight="1" x14ac:dyDescent="0.25">
      <c r="A65" s="2" t="s">
        <v>216</v>
      </c>
      <c r="B65" s="3" t="s">
        <v>217</v>
      </c>
      <c r="C65" s="80" t="s">
        <v>218</v>
      </c>
      <c r="D65" s="75"/>
      <c r="E65" s="3" t="s">
        <v>102</v>
      </c>
      <c r="F65" s="23">
        <v>80</v>
      </c>
      <c r="G65" s="23">
        <v>0</v>
      </c>
      <c r="H65" s="23">
        <f t="shared" ref="H65:H74" si="46">F65*AO65</f>
        <v>0</v>
      </c>
      <c r="I65" s="23">
        <f t="shared" ref="I65:I74" si="47">F65*AP65</f>
        <v>0</v>
      </c>
      <c r="J65" s="23">
        <f t="shared" ref="J65:J74" si="48">F65*G65</f>
        <v>0</v>
      </c>
      <c r="K65" s="23">
        <v>0</v>
      </c>
      <c r="L65" s="24">
        <v>0</v>
      </c>
      <c r="Z65" s="23">
        <f t="shared" ref="Z65:Z74" si="49">IF(AQ65="5",BJ65,0)</f>
        <v>0</v>
      </c>
      <c r="AB65" s="23">
        <f t="shared" ref="AB65:AB74" si="50">IF(AQ65="1",BH65,0)</f>
        <v>0</v>
      </c>
      <c r="AC65" s="23">
        <f t="shared" ref="AC65:AC74" si="51">IF(AQ65="1",BI65,0)</f>
        <v>0</v>
      </c>
      <c r="AD65" s="23">
        <f t="shared" ref="AD65:AD74" si="52">IF(AQ65="7",BH65,0)</f>
        <v>0</v>
      </c>
      <c r="AE65" s="23">
        <f t="shared" ref="AE65:AE74" si="53">IF(AQ65="7",BI65,0)</f>
        <v>0</v>
      </c>
      <c r="AF65" s="23">
        <f t="shared" ref="AF65:AF74" si="54">IF(AQ65="2",BH65,0)</f>
        <v>0</v>
      </c>
      <c r="AG65" s="23">
        <f t="shared" ref="AG65:AG74" si="55">IF(AQ65="2",BI65,0)</f>
        <v>0</v>
      </c>
      <c r="AH65" s="23">
        <f t="shared" ref="AH65:AH74" si="56">IF(AQ65="0",BJ65,0)</f>
        <v>0</v>
      </c>
      <c r="AI65" s="8" t="s">
        <v>53</v>
      </c>
      <c r="AJ65" s="23">
        <f t="shared" ref="AJ65:AJ74" si="57">IF(AN65=0,J65,0)</f>
        <v>0</v>
      </c>
      <c r="AK65" s="23">
        <f t="shared" ref="AK65:AK74" si="58">IF(AN65=12,J65,0)</f>
        <v>0</v>
      </c>
      <c r="AL65" s="23">
        <f t="shared" ref="AL65:AL74" si="59">IF(AN65=21,J65,0)</f>
        <v>0</v>
      </c>
      <c r="AN65" s="23">
        <v>21</v>
      </c>
      <c r="AO65" s="23">
        <f>G65*0</f>
        <v>0</v>
      </c>
      <c r="AP65" s="23">
        <f>G65*(1-0)</f>
        <v>0</v>
      </c>
      <c r="AQ65" s="25" t="s">
        <v>94</v>
      </c>
      <c r="AV65" s="23">
        <f t="shared" ref="AV65:AV74" si="60">AW65+AX65</f>
        <v>0</v>
      </c>
      <c r="AW65" s="23">
        <f t="shared" ref="AW65:AW74" si="61">F65*AO65</f>
        <v>0</v>
      </c>
      <c r="AX65" s="23">
        <f t="shared" ref="AX65:AX74" si="62">F65*AP65</f>
        <v>0</v>
      </c>
      <c r="AY65" s="25" t="s">
        <v>219</v>
      </c>
      <c r="AZ65" s="25" t="s">
        <v>123</v>
      </c>
      <c r="BA65" s="8" t="s">
        <v>62</v>
      </c>
      <c r="BC65" s="23">
        <f t="shared" ref="BC65:BC74" si="63">AW65+AX65</f>
        <v>0</v>
      </c>
      <c r="BD65" s="23">
        <f t="shared" ref="BD65:BD74" si="64">G65/(100-BE65)*100</f>
        <v>0</v>
      </c>
      <c r="BE65" s="23">
        <v>0</v>
      </c>
      <c r="BF65" s="23">
        <f>65</f>
        <v>65</v>
      </c>
      <c r="BH65" s="23">
        <f t="shared" ref="BH65:BH74" si="65">F65*AO65</f>
        <v>0</v>
      </c>
      <c r="BI65" s="23">
        <f t="shared" ref="BI65:BI74" si="66">F65*AP65</f>
        <v>0</v>
      </c>
      <c r="BJ65" s="23">
        <f t="shared" ref="BJ65:BJ74" si="67">F65*G65</f>
        <v>0</v>
      </c>
      <c r="BK65" s="23"/>
      <c r="BL65" s="23">
        <v>723</v>
      </c>
      <c r="BW65" s="23">
        <v>21</v>
      </c>
    </row>
    <row r="66" spans="1:75" ht="13.5" customHeight="1" x14ac:dyDescent="0.25">
      <c r="A66" s="2" t="s">
        <v>220</v>
      </c>
      <c r="B66" s="3" t="s">
        <v>217</v>
      </c>
      <c r="C66" s="80" t="s">
        <v>221</v>
      </c>
      <c r="D66" s="75"/>
      <c r="E66" s="3" t="s">
        <v>102</v>
      </c>
      <c r="F66" s="23">
        <v>80</v>
      </c>
      <c r="G66" s="23">
        <v>0</v>
      </c>
      <c r="H66" s="23">
        <f t="shared" si="46"/>
        <v>0</v>
      </c>
      <c r="I66" s="23">
        <f t="shared" si="47"/>
        <v>0</v>
      </c>
      <c r="J66" s="23">
        <f t="shared" si="48"/>
        <v>0</v>
      </c>
      <c r="K66" s="23">
        <v>0</v>
      </c>
      <c r="L66" s="24">
        <v>0</v>
      </c>
      <c r="Z66" s="23">
        <f t="shared" si="49"/>
        <v>0</v>
      </c>
      <c r="AB66" s="23">
        <f t="shared" si="50"/>
        <v>0</v>
      </c>
      <c r="AC66" s="23">
        <f t="shared" si="51"/>
        <v>0</v>
      </c>
      <c r="AD66" s="23">
        <f t="shared" si="52"/>
        <v>0</v>
      </c>
      <c r="AE66" s="23">
        <f t="shared" si="53"/>
        <v>0</v>
      </c>
      <c r="AF66" s="23">
        <f t="shared" si="54"/>
        <v>0</v>
      </c>
      <c r="AG66" s="23">
        <f t="shared" si="55"/>
        <v>0</v>
      </c>
      <c r="AH66" s="23">
        <f t="shared" si="56"/>
        <v>0</v>
      </c>
      <c r="AI66" s="8" t="s">
        <v>53</v>
      </c>
      <c r="AJ66" s="23">
        <f t="shared" si="57"/>
        <v>0</v>
      </c>
      <c r="AK66" s="23">
        <f t="shared" si="58"/>
        <v>0</v>
      </c>
      <c r="AL66" s="23">
        <f t="shared" si="59"/>
        <v>0</v>
      </c>
      <c r="AN66" s="23">
        <v>21</v>
      </c>
      <c r="AO66" s="23">
        <f>G66*0</f>
        <v>0</v>
      </c>
      <c r="AP66" s="23">
        <f>G66*(1-0)</f>
        <v>0</v>
      </c>
      <c r="AQ66" s="25" t="s">
        <v>94</v>
      </c>
      <c r="AV66" s="23">
        <f t="shared" si="60"/>
        <v>0</v>
      </c>
      <c r="AW66" s="23">
        <f t="shared" si="61"/>
        <v>0</v>
      </c>
      <c r="AX66" s="23">
        <f t="shared" si="62"/>
        <v>0</v>
      </c>
      <c r="AY66" s="25" t="s">
        <v>219</v>
      </c>
      <c r="AZ66" s="25" t="s">
        <v>123</v>
      </c>
      <c r="BA66" s="8" t="s">
        <v>62</v>
      </c>
      <c r="BC66" s="23">
        <f t="shared" si="63"/>
        <v>0</v>
      </c>
      <c r="BD66" s="23">
        <f t="shared" si="64"/>
        <v>0</v>
      </c>
      <c r="BE66" s="23">
        <v>0</v>
      </c>
      <c r="BF66" s="23">
        <f>66</f>
        <v>66</v>
      </c>
      <c r="BH66" s="23">
        <f t="shared" si="65"/>
        <v>0</v>
      </c>
      <c r="BI66" s="23">
        <f t="shared" si="66"/>
        <v>0</v>
      </c>
      <c r="BJ66" s="23">
        <f t="shared" si="67"/>
        <v>0</v>
      </c>
      <c r="BK66" s="23"/>
      <c r="BL66" s="23">
        <v>723</v>
      </c>
      <c r="BW66" s="23">
        <v>21</v>
      </c>
    </row>
    <row r="67" spans="1:75" ht="13.5" customHeight="1" x14ac:dyDescent="0.25">
      <c r="A67" s="2" t="s">
        <v>222</v>
      </c>
      <c r="B67" s="3" t="s">
        <v>223</v>
      </c>
      <c r="C67" s="80" t="s">
        <v>224</v>
      </c>
      <c r="D67" s="75"/>
      <c r="E67" s="3" t="s">
        <v>102</v>
      </c>
      <c r="F67" s="23">
        <v>1</v>
      </c>
      <c r="G67" s="23">
        <v>0</v>
      </c>
      <c r="H67" s="23">
        <f t="shared" si="46"/>
        <v>0</v>
      </c>
      <c r="I67" s="23">
        <f t="shared" si="47"/>
        <v>0</v>
      </c>
      <c r="J67" s="23">
        <f t="shared" si="48"/>
        <v>0</v>
      </c>
      <c r="K67" s="23">
        <v>2.5000000000000001E-4</v>
      </c>
      <c r="L67" s="24">
        <v>5.7800000000000004E-3</v>
      </c>
      <c r="Z67" s="23">
        <f t="shared" si="49"/>
        <v>0</v>
      </c>
      <c r="AB67" s="23">
        <f t="shared" si="50"/>
        <v>0</v>
      </c>
      <c r="AC67" s="23">
        <f t="shared" si="51"/>
        <v>0</v>
      </c>
      <c r="AD67" s="23">
        <f t="shared" si="52"/>
        <v>0</v>
      </c>
      <c r="AE67" s="23">
        <f t="shared" si="53"/>
        <v>0</v>
      </c>
      <c r="AF67" s="23">
        <f t="shared" si="54"/>
        <v>0</v>
      </c>
      <c r="AG67" s="23">
        <f t="shared" si="55"/>
        <v>0</v>
      </c>
      <c r="AH67" s="23">
        <f t="shared" si="56"/>
        <v>0</v>
      </c>
      <c r="AI67" s="8" t="s">
        <v>53</v>
      </c>
      <c r="AJ67" s="23">
        <f t="shared" si="57"/>
        <v>0</v>
      </c>
      <c r="AK67" s="23">
        <f t="shared" si="58"/>
        <v>0</v>
      </c>
      <c r="AL67" s="23">
        <f t="shared" si="59"/>
        <v>0</v>
      </c>
      <c r="AN67" s="23">
        <v>21</v>
      </c>
      <c r="AO67" s="23">
        <f>G67*0.833203125</f>
        <v>0</v>
      </c>
      <c r="AP67" s="23">
        <f>G67*(1-0.833203125)</f>
        <v>0</v>
      </c>
      <c r="AQ67" s="25" t="s">
        <v>94</v>
      </c>
      <c r="AV67" s="23">
        <f t="shared" si="60"/>
        <v>0</v>
      </c>
      <c r="AW67" s="23">
        <f t="shared" si="61"/>
        <v>0</v>
      </c>
      <c r="AX67" s="23">
        <f t="shared" si="62"/>
        <v>0</v>
      </c>
      <c r="AY67" s="25" t="s">
        <v>219</v>
      </c>
      <c r="AZ67" s="25" t="s">
        <v>123</v>
      </c>
      <c r="BA67" s="8" t="s">
        <v>62</v>
      </c>
      <c r="BC67" s="23">
        <f t="shared" si="63"/>
        <v>0</v>
      </c>
      <c r="BD67" s="23">
        <f t="shared" si="64"/>
        <v>0</v>
      </c>
      <c r="BE67" s="23">
        <v>0</v>
      </c>
      <c r="BF67" s="23">
        <f>67</f>
        <v>67</v>
      </c>
      <c r="BH67" s="23">
        <f t="shared" si="65"/>
        <v>0</v>
      </c>
      <c r="BI67" s="23">
        <f t="shared" si="66"/>
        <v>0</v>
      </c>
      <c r="BJ67" s="23">
        <f t="shared" si="67"/>
        <v>0</v>
      </c>
      <c r="BK67" s="23"/>
      <c r="BL67" s="23">
        <v>723</v>
      </c>
      <c r="BW67" s="23">
        <v>21</v>
      </c>
    </row>
    <row r="68" spans="1:75" ht="13.5" customHeight="1" x14ac:dyDescent="0.25">
      <c r="A68" s="2" t="s">
        <v>225</v>
      </c>
      <c r="B68" s="3" t="s">
        <v>226</v>
      </c>
      <c r="C68" s="80" t="s">
        <v>227</v>
      </c>
      <c r="D68" s="75"/>
      <c r="E68" s="3" t="s">
        <v>102</v>
      </c>
      <c r="F68" s="23">
        <v>4</v>
      </c>
      <c r="G68" s="23">
        <v>0</v>
      </c>
      <c r="H68" s="23">
        <f t="shared" si="46"/>
        <v>0</v>
      </c>
      <c r="I68" s="23">
        <f t="shared" si="47"/>
        <v>0</v>
      </c>
      <c r="J68" s="23">
        <f t="shared" si="48"/>
        <v>0</v>
      </c>
      <c r="K68" s="23">
        <v>3.8999999999999999E-4</v>
      </c>
      <c r="L68" s="24">
        <v>3.81E-3</v>
      </c>
      <c r="Z68" s="23">
        <f t="shared" si="49"/>
        <v>0</v>
      </c>
      <c r="AB68" s="23">
        <f t="shared" si="50"/>
        <v>0</v>
      </c>
      <c r="AC68" s="23">
        <f t="shared" si="51"/>
        <v>0</v>
      </c>
      <c r="AD68" s="23">
        <f t="shared" si="52"/>
        <v>0</v>
      </c>
      <c r="AE68" s="23">
        <f t="shared" si="53"/>
        <v>0</v>
      </c>
      <c r="AF68" s="23">
        <f t="shared" si="54"/>
        <v>0</v>
      </c>
      <c r="AG68" s="23">
        <f t="shared" si="55"/>
        <v>0</v>
      </c>
      <c r="AH68" s="23">
        <f t="shared" si="56"/>
        <v>0</v>
      </c>
      <c r="AI68" s="8" t="s">
        <v>53</v>
      </c>
      <c r="AJ68" s="23">
        <f t="shared" si="57"/>
        <v>0</v>
      </c>
      <c r="AK68" s="23">
        <f t="shared" si="58"/>
        <v>0</v>
      </c>
      <c r="AL68" s="23">
        <f t="shared" si="59"/>
        <v>0</v>
      </c>
      <c r="AN68" s="23">
        <v>21</v>
      </c>
      <c r="AO68" s="23">
        <f>G68*0.896180371</f>
        <v>0</v>
      </c>
      <c r="AP68" s="23">
        <f>G68*(1-0.896180371)</f>
        <v>0</v>
      </c>
      <c r="AQ68" s="25" t="s">
        <v>94</v>
      </c>
      <c r="AV68" s="23">
        <f t="shared" si="60"/>
        <v>0</v>
      </c>
      <c r="AW68" s="23">
        <f t="shared" si="61"/>
        <v>0</v>
      </c>
      <c r="AX68" s="23">
        <f t="shared" si="62"/>
        <v>0</v>
      </c>
      <c r="AY68" s="25" t="s">
        <v>219</v>
      </c>
      <c r="AZ68" s="25" t="s">
        <v>123</v>
      </c>
      <c r="BA68" s="8" t="s">
        <v>62</v>
      </c>
      <c r="BC68" s="23">
        <f t="shared" si="63"/>
        <v>0</v>
      </c>
      <c r="BD68" s="23">
        <f t="shared" si="64"/>
        <v>0</v>
      </c>
      <c r="BE68" s="23">
        <v>0</v>
      </c>
      <c r="BF68" s="23">
        <f>68</f>
        <v>68</v>
      </c>
      <c r="BH68" s="23">
        <f t="shared" si="65"/>
        <v>0</v>
      </c>
      <c r="BI68" s="23">
        <f t="shared" si="66"/>
        <v>0</v>
      </c>
      <c r="BJ68" s="23">
        <f t="shared" si="67"/>
        <v>0</v>
      </c>
      <c r="BK68" s="23"/>
      <c r="BL68" s="23">
        <v>723</v>
      </c>
      <c r="BW68" s="23">
        <v>21</v>
      </c>
    </row>
    <row r="69" spans="1:75" ht="13.5" customHeight="1" x14ac:dyDescent="0.25">
      <c r="A69" s="2" t="s">
        <v>228</v>
      </c>
      <c r="B69" s="3" t="s">
        <v>229</v>
      </c>
      <c r="C69" s="80" t="s">
        <v>230</v>
      </c>
      <c r="D69" s="75"/>
      <c r="E69" s="3" t="s">
        <v>68</v>
      </c>
      <c r="F69" s="23">
        <v>1</v>
      </c>
      <c r="G69" s="23">
        <v>0</v>
      </c>
      <c r="H69" s="23">
        <f t="shared" si="46"/>
        <v>0</v>
      </c>
      <c r="I69" s="23">
        <f t="shared" si="47"/>
        <v>0</v>
      </c>
      <c r="J69" s="23">
        <f t="shared" si="48"/>
        <v>0</v>
      </c>
      <c r="K69" s="23">
        <v>0</v>
      </c>
      <c r="L69" s="24">
        <v>0</v>
      </c>
      <c r="Z69" s="23">
        <f t="shared" si="49"/>
        <v>0</v>
      </c>
      <c r="AB69" s="23">
        <f t="shared" si="50"/>
        <v>0</v>
      </c>
      <c r="AC69" s="23">
        <f t="shared" si="51"/>
        <v>0</v>
      </c>
      <c r="AD69" s="23">
        <f t="shared" si="52"/>
        <v>0</v>
      </c>
      <c r="AE69" s="23">
        <f t="shared" si="53"/>
        <v>0</v>
      </c>
      <c r="AF69" s="23">
        <f t="shared" si="54"/>
        <v>0</v>
      </c>
      <c r="AG69" s="23">
        <f t="shared" si="55"/>
        <v>0</v>
      </c>
      <c r="AH69" s="23">
        <f t="shared" si="56"/>
        <v>0</v>
      </c>
      <c r="AI69" s="8" t="s">
        <v>53</v>
      </c>
      <c r="AJ69" s="23">
        <f t="shared" si="57"/>
        <v>0</v>
      </c>
      <c r="AK69" s="23">
        <f t="shared" si="58"/>
        <v>0</v>
      </c>
      <c r="AL69" s="23">
        <f t="shared" si="59"/>
        <v>0</v>
      </c>
      <c r="AN69" s="23">
        <v>21</v>
      </c>
      <c r="AO69" s="23">
        <f>G69*0</f>
        <v>0</v>
      </c>
      <c r="AP69" s="23">
        <f>G69*(1-0)</f>
        <v>0</v>
      </c>
      <c r="AQ69" s="25" t="s">
        <v>94</v>
      </c>
      <c r="AV69" s="23">
        <f t="shared" si="60"/>
        <v>0</v>
      </c>
      <c r="AW69" s="23">
        <f t="shared" si="61"/>
        <v>0</v>
      </c>
      <c r="AX69" s="23">
        <f t="shared" si="62"/>
        <v>0</v>
      </c>
      <c r="AY69" s="25" t="s">
        <v>219</v>
      </c>
      <c r="AZ69" s="25" t="s">
        <v>123</v>
      </c>
      <c r="BA69" s="8" t="s">
        <v>62</v>
      </c>
      <c r="BC69" s="23">
        <f t="shared" si="63"/>
        <v>0</v>
      </c>
      <c r="BD69" s="23">
        <f t="shared" si="64"/>
        <v>0</v>
      </c>
      <c r="BE69" s="23">
        <v>0</v>
      </c>
      <c r="BF69" s="23">
        <f>69</f>
        <v>69</v>
      </c>
      <c r="BH69" s="23">
        <f t="shared" si="65"/>
        <v>0</v>
      </c>
      <c r="BI69" s="23">
        <f t="shared" si="66"/>
        <v>0</v>
      </c>
      <c r="BJ69" s="23">
        <f t="shared" si="67"/>
        <v>0</v>
      </c>
      <c r="BK69" s="23"/>
      <c r="BL69" s="23">
        <v>723</v>
      </c>
      <c r="BW69" s="23">
        <v>21</v>
      </c>
    </row>
    <row r="70" spans="1:75" ht="13.5" customHeight="1" x14ac:dyDescent="0.25">
      <c r="A70" s="2" t="s">
        <v>231</v>
      </c>
      <c r="B70" s="3" t="s">
        <v>232</v>
      </c>
      <c r="C70" s="80" t="s">
        <v>233</v>
      </c>
      <c r="D70" s="75"/>
      <c r="E70" s="3" t="s">
        <v>68</v>
      </c>
      <c r="F70" s="23">
        <v>1</v>
      </c>
      <c r="G70" s="23">
        <v>0</v>
      </c>
      <c r="H70" s="23">
        <f t="shared" si="46"/>
        <v>0</v>
      </c>
      <c r="I70" s="23">
        <f t="shared" si="47"/>
        <v>0</v>
      </c>
      <c r="J70" s="23">
        <f t="shared" si="48"/>
        <v>0</v>
      </c>
      <c r="K70" s="23">
        <v>6.2E-4</v>
      </c>
      <c r="L70" s="24">
        <v>6.2E-4</v>
      </c>
      <c r="Z70" s="23">
        <f t="shared" si="49"/>
        <v>0</v>
      </c>
      <c r="AB70" s="23">
        <f t="shared" si="50"/>
        <v>0</v>
      </c>
      <c r="AC70" s="23">
        <f t="shared" si="51"/>
        <v>0</v>
      </c>
      <c r="AD70" s="23">
        <f t="shared" si="52"/>
        <v>0</v>
      </c>
      <c r="AE70" s="23">
        <f t="shared" si="53"/>
        <v>0</v>
      </c>
      <c r="AF70" s="23">
        <f t="shared" si="54"/>
        <v>0</v>
      </c>
      <c r="AG70" s="23">
        <f t="shared" si="55"/>
        <v>0</v>
      </c>
      <c r="AH70" s="23">
        <f t="shared" si="56"/>
        <v>0</v>
      </c>
      <c r="AI70" s="8" t="s">
        <v>53</v>
      </c>
      <c r="AJ70" s="23">
        <f t="shared" si="57"/>
        <v>0</v>
      </c>
      <c r="AK70" s="23">
        <f t="shared" si="58"/>
        <v>0</v>
      </c>
      <c r="AL70" s="23">
        <f t="shared" si="59"/>
        <v>0</v>
      </c>
      <c r="AN70" s="23">
        <v>21</v>
      </c>
      <c r="AO70" s="23">
        <f>G70*0.802348819</f>
        <v>0</v>
      </c>
      <c r="AP70" s="23">
        <f>G70*(1-0.802348819)</f>
        <v>0</v>
      </c>
      <c r="AQ70" s="25" t="s">
        <v>94</v>
      </c>
      <c r="AV70" s="23">
        <f t="shared" si="60"/>
        <v>0</v>
      </c>
      <c r="AW70" s="23">
        <f t="shared" si="61"/>
        <v>0</v>
      </c>
      <c r="AX70" s="23">
        <f t="shared" si="62"/>
        <v>0</v>
      </c>
      <c r="AY70" s="25" t="s">
        <v>219</v>
      </c>
      <c r="AZ70" s="25" t="s">
        <v>123</v>
      </c>
      <c r="BA70" s="8" t="s">
        <v>62</v>
      </c>
      <c r="BC70" s="23">
        <f t="shared" si="63"/>
        <v>0</v>
      </c>
      <c r="BD70" s="23">
        <f t="shared" si="64"/>
        <v>0</v>
      </c>
      <c r="BE70" s="23">
        <v>0</v>
      </c>
      <c r="BF70" s="23">
        <f>70</f>
        <v>70</v>
      </c>
      <c r="BH70" s="23">
        <f t="shared" si="65"/>
        <v>0</v>
      </c>
      <c r="BI70" s="23">
        <f t="shared" si="66"/>
        <v>0</v>
      </c>
      <c r="BJ70" s="23">
        <f t="shared" si="67"/>
        <v>0</v>
      </c>
      <c r="BK70" s="23"/>
      <c r="BL70" s="23">
        <v>723</v>
      </c>
      <c r="BW70" s="23">
        <v>21</v>
      </c>
    </row>
    <row r="71" spans="1:75" ht="13.5" customHeight="1" x14ac:dyDescent="0.25">
      <c r="A71" s="2" t="s">
        <v>234</v>
      </c>
      <c r="B71" s="3" t="s">
        <v>235</v>
      </c>
      <c r="C71" s="80" t="s">
        <v>236</v>
      </c>
      <c r="D71" s="75"/>
      <c r="E71" s="3" t="s">
        <v>68</v>
      </c>
      <c r="F71" s="23">
        <v>1</v>
      </c>
      <c r="G71" s="23">
        <v>0</v>
      </c>
      <c r="H71" s="23">
        <f t="shared" si="46"/>
        <v>0</v>
      </c>
      <c r="I71" s="23">
        <f t="shared" si="47"/>
        <v>0</v>
      </c>
      <c r="J71" s="23">
        <f t="shared" si="48"/>
        <v>0</v>
      </c>
      <c r="K71" s="23">
        <v>5.9999999999999995E-4</v>
      </c>
      <c r="L71" s="24">
        <v>5.9999999999999995E-4</v>
      </c>
      <c r="Z71" s="23">
        <f t="shared" si="49"/>
        <v>0</v>
      </c>
      <c r="AB71" s="23">
        <f t="shared" si="50"/>
        <v>0</v>
      </c>
      <c r="AC71" s="23">
        <f t="shared" si="51"/>
        <v>0</v>
      </c>
      <c r="AD71" s="23">
        <f t="shared" si="52"/>
        <v>0</v>
      </c>
      <c r="AE71" s="23">
        <f t="shared" si="53"/>
        <v>0</v>
      </c>
      <c r="AF71" s="23">
        <f t="shared" si="54"/>
        <v>0</v>
      </c>
      <c r="AG71" s="23">
        <f t="shared" si="55"/>
        <v>0</v>
      </c>
      <c r="AH71" s="23">
        <f t="shared" si="56"/>
        <v>0</v>
      </c>
      <c r="AI71" s="8" t="s">
        <v>53</v>
      </c>
      <c r="AJ71" s="23">
        <f t="shared" si="57"/>
        <v>0</v>
      </c>
      <c r="AK71" s="23">
        <f t="shared" si="58"/>
        <v>0</v>
      </c>
      <c r="AL71" s="23">
        <f t="shared" si="59"/>
        <v>0</v>
      </c>
      <c r="AN71" s="23">
        <v>21</v>
      </c>
      <c r="AO71" s="23">
        <f>G71*0.976190476</f>
        <v>0</v>
      </c>
      <c r="AP71" s="23">
        <f>G71*(1-0.976190476)</f>
        <v>0</v>
      </c>
      <c r="AQ71" s="25" t="s">
        <v>94</v>
      </c>
      <c r="AV71" s="23">
        <f t="shared" si="60"/>
        <v>0</v>
      </c>
      <c r="AW71" s="23">
        <f t="shared" si="61"/>
        <v>0</v>
      </c>
      <c r="AX71" s="23">
        <f t="shared" si="62"/>
        <v>0</v>
      </c>
      <c r="AY71" s="25" t="s">
        <v>219</v>
      </c>
      <c r="AZ71" s="25" t="s">
        <v>123</v>
      </c>
      <c r="BA71" s="8" t="s">
        <v>62</v>
      </c>
      <c r="BC71" s="23">
        <f t="shared" si="63"/>
        <v>0</v>
      </c>
      <c r="BD71" s="23">
        <f t="shared" si="64"/>
        <v>0</v>
      </c>
      <c r="BE71" s="23">
        <v>0</v>
      </c>
      <c r="BF71" s="23">
        <f>71</f>
        <v>71</v>
      </c>
      <c r="BH71" s="23">
        <f t="shared" si="65"/>
        <v>0</v>
      </c>
      <c r="BI71" s="23">
        <f t="shared" si="66"/>
        <v>0</v>
      </c>
      <c r="BJ71" s="23">
        <f t="shared" si="67"/>
        <v>0</v>
      </c>
      <c r="BK71" s="23"/>
      <c r="BL71" s="23">
        <v>723</v>
      </c>
      <c r="BW71" s="23">
        <v>21</v>
      </c>
    </row>
    <row r="72" spans="1:75" ht="13.5" customHeight="1" x14ac:dyDescent="0.25">
      <c r="A72" s="2" t="s">
        <v>237</v>
      </c>
      <c r="B72" s="3" t="s">
        <v>238</v>
      </c>
      <c r="C72" s="80" t="s">
        <v>239</v>
      </c>
      <c r="D72" s="75"/>
      <c r="E72" s="3" t="s">
        <v>68</v>
      </c>
      <c r="F72" s="23">
        <v>3</v>
      </c>
      <c r="G72" s="23">
        <v>0</v>
      </c>
      <c r="H72" s="23">
        <f t="shared" si="46"/>
        <v>0</v>
      </c>
      <c r="I72" s="23">
        <f t="shared" si="47"/>
        <v>0</v>
      </c>
      <c r="J72" s="23">
        <f t="shared" si="48"/>
        <v>0</v>
      </c>
      <c r="K72" s="23">
        <v>2.5000000000000001E-4</v>
      </c>
      <c r="L72" s="24">
        <v>2.5000000000000001E-4</v>
      </c>
      <c r="Z72" s="23">
        <f t="shared" si="49"/>
        <v>0</v>
      </c>
      <c r="AB72" s="23">
        <f t="shared" si="50"/>
        <v>0</v>
      </c>
      <c r="AC72" s="23">
        <f t="shared" si="51"/>
        <v>0</v>
      </c>
      <c r="AD72" s="23">
        <f t="shared" si="52"/>
        <v>0</v>
      </c>
      <c r="AE72" s="23">
        <f t="shared" si="53"/>
        <v>0</v>
      </c>
      <c r="AF72" s="23">
        <f t="shared" si="54"/>
        <v>0</v>
      </c>
      <c r="AG72" s="23">
        <f t="shared" si="55"/>
        <v>0</v>
      </c>
      <c r="AH72" s="23">
        <f t="shared" si="56"/>
        <v>0</v>
      </c>
      <c r="AI72" s="8" t="s">
        <v>53</v>
      </c>
      <c r="AJ72" s="23">
        <f t="shared" si="57"/>
        <v>0</v>
      </c>
      <c r="AK72" s="23">
        <f t="shared" si="58"/>
        <v>0</v>
      </c>
      <c r="AL72" s="23">
        <f t="shared" si="59"/>
        <v>0</v>
      </c>
      <c r="AN72" s="23">
        <v>21</v>
      </c>
      <c r="AO72" s="23">
        <f>G72*0.307952183</f>
        <v>0</v>
      </c>
      <c r="AP72" s="23">
        <f>G72*(1-0.307952183)</f>
        <v>0</v>
      </c>
      <c r="AQ72" s="25" t="s">
        <v>94</v>
      </c>
      <c r="AV72" s="23">
        <f t="shared" si="60"/>
        <v>0</v>
      </c>
      <c r="AW72" s="23">
        <f t="shared" si="61"/>
        <v>0</v>
      </c>
      <c r="AX72" s="23">
        <f t="shared" si="62"/>
        <v>0</v>
      </c>
      <c r="AY72" s="25" t="s">
        <v>219</v>
      </c>
      <c r="AZ72" s="25" t="s">
        <v>123</v>
      </c>
      <c r="BA72" s="8" t="s">
        <v>62</v>
      </c>
      <c r="BC72" s="23">
        <f t="shared" si="63"/>
        <v>0</v>
      </c>
      <c r="BD72" s="23">
        <f t="shared" si="64"/>
        <v>0</v>
      </c>
      <c r="BE72" s="23">
        <v>0</v>
      </c>
      <c r="BF72" s="23">
        <f>72</f>
        <v>72</v>
      </c>
      <c r="BH72" s="23">
        <f t="shared" si="65"/>
        <v>0</v>
      </c>
      <c r="BI72" s="23">
        <f t="shared" si="66"/>
        <v>0</v>
      </c>
      <c r="BJ72" s="23">
        <f t="shared" si="67"/>
        <v>0</v>
      </c>
      <c r="BK72" s="23"/>
      <c r="BL72" s="23">
        <v>723</v>
      </c>
      <c r="BW72" s="23">
        <v>21</v>
      </c>
    </row>
    <row r="73" spans="1:75" ht="13.5" customHeight="1" x14ac:dyDescent="0.25">
      <c r="A73" s="2" t="s">
        <v>240</v>
      </c>
      <c r="B73" s="3" t="s">
        <v>241</v>
      </c>
      <c r="C73" s="80" t="s">
        <v>242</v>
      </c>
      <c r="D73" s="75"/>
      <c r="E73" s="3" t="s">
        <v>68</v>
      </c>
      <c r="F73" s="23">
        <v>1</v>
      </c>
      <c r="G73" s="23">
        <v>0</v>
      </c>
      <c r="H73" s="23">
        <f t="shared" si="46"/>
        <v>0</v>
      </c>
      <c r="I73" s="23">
        <f t="shared" si="47"/>
        <v>0</v>
      </c>
      <c r="J73" s="23">
        <f t="shared" si="48"/>
        <v>0</v>
      </c>
      <c r="K73" s="23">
        <v>1.3979999999999999E-2</v>
      </c>
      <c r="L73" s="24">
        <v>1.3979999999999999E-2</v>
      </c>
      <c r="Z73" s="23">
        <f t="shared" si="49"/>
        <v>0</v>
      </c>
      <c r="AB73" s="23">
        <f t="shared" si="50"/>
        <v>0</v>
      </c>
      <c r="AC73" s="23">
        <f t="shared" si="51"/>
        <v>0</v>
      </c>
      <c r="AD73" s="23">
        <f t="shared" si="52"/>
        <v>0</v>
      </c>
      <c r="AE73" s="23">
        <f t="shared" si="53"/>
        <v>0</v>
      </c>
      <c r="AF73" s="23">
        <f t="shared" si="54"/>
        <v>0</v>
      </c>
      <c r="AG73" s="23">
        <f t="shared" si="55"/>
        <v>0</v>
      </c>
      <c r="AH73" s="23">
        <f t="shared" si="56"/>
        <v>0</v>
      </c>
      <c r="AI73" s="8" t="s">
        <v>53</v>
      </c>
      <c r="AJ73" s="23">
        <f t="shared" si="57"/>
        <v>0</v>
      </c>
      <c r="AK73" s="23">
        <f t="shared" si="58"/>
        <v>0</v>
      </c>
      <c r="AL73" s="23">
        <f t="shared" si="59"/>
        <v>0</v>
      </c>
      <c r="AN73" s="23">
        <v>21</v>
      </c>
      <c r="AO73" s="23">
        <f>G73*0.971552388</f>
        <v>0</v>
      </c>
      <c r="AP73" s="23">
        <f>G73*(1-0.971552388)</f>
        <v>0</v>
      </c>
      <c r="AQ73" s="25" t="s">
        <v>94</v>
      </c>
      <c r="AV73" s="23">
        <f t="shared" si="60"/>
        <v>0</v>
      </c>
      <c r="AW73" s="23">
        <f t="shared" si="61"/>
        <v>0</v>
      </c>
      <c r="AX73" s="23">
        <f t="shared" si="62"/>
        <v>0</v>
      </c>
      <c r="AY73" s="25" t="s">
        <v>219</v>
      </c>
      <c r="AZ73" s="25" t="s">
        <v>123</v>
      </c>
      <c r="BA73" s="8" t="s">
        <v>62</v>
      </c>
      <c r="BC73" s="23">
        <f t="shared" si="63"/>
        <v>0</v>
      </c>
      <c r="BD73" s="23">
        <f t="shared" si="64"/>
        <v>0</v>
      </c>
      <c r="BE73" s="23">
        <v>0</v>
      </c>
      <c r="BF73" s="23">
        <f>73</f>
        <v>73</v>
      </c>
      <c r="BH73" s="23">
        <f t="shared" si="65"/>
        <v>0</v>
      </c>
      <c r="BI73" s="23">
        <f t="shared" si="66"/>
        <v>0</v>
      </c>
      <c r="BJ73" s="23">
        <f t="shared" si="67"/>
        <v>0</v>
      </c>
      <c r="BK73" s="23"/>
      <c r="BL73" s="23">
        <v>723</v>
      </c>
      <c r="BW73" s="23">
        <v>21</v>
      </c>
    </row>
    <row r="74" spans="1:75" ht="13.5" customHeight="1" x14ac:dyDescent="0.25">
      <c r="A74" s="2" t="s">
        <v>243</v>
      </c>
      <c r="B74" s="3" t="s">
        <v>244</v>
      </c>
      <c r="C74" s="80" t="s">
        <v>245</v>
      </c>
      <c r="D74" s="75"/>
      <c r="E74" s="3" t="s">
        <v>68</v>
      </c>
      <c r="F74" s="23">
        <v>1</v>
      </c>
      <c r="G74" s="23">
        <v>0</v>
      </c>
      <c r="H74" s="23">
        <f t="shared" si="46"/>
        <v>0</v>
      </c>
      <c r="I74" s="23">
        <f t="shared" si="47"/>
        <v>0</v>
      </c>
      <c r="J74" s="23">
        <f t="shared" si="48"/>
        <v>0</v>
      </c>
      <c r="K74" s="23">
        <v>3.0000000000000001E-5</v>
      </c>
      <c r="L74" s="24">
        <v>3.0000000000000001E-5</v>
      </c>
      <c r="Z74" s="23">
        <f t="shared" si="49"/>
        <v>0</v>
      </c>
      <c r="AB74" s="23">
        <f t="shared" si="50"/>
        <v>0</v>
      </c>
      <c r="AC74" s="23">
        <f t="shared" si="51"/>
        <v>0</v>
      </c>
      <c r="AD74" s="23">
        <f t="shared" si="52"/>
        <v>0</v>
      </c>
      <c r="AE74" s="23">
        <f t="shared" si="53"/>
        <v>0</v>
      </c>
      <c r="AF74" s="23">
        <f t="shared" si="54"/>
        <v>0</v>
      </c>
      <c r="AG74" s="23">
        <f t="shared" si="55"/>
        <v>0</v>
      </c>
      <c r="AH74" s="23">
        <f t="shared" si="56"/>
        <v>0</v>
      </c>
      <c r="AI74" s="8" t="s">
        <v>53</v>
      </c>
      <c r="AJ74" s="23">
        <f t="shared" si="57"/>
        <v>0</v>
      </c>
      <c r="AK74" s="23">
        <f t="shared" si="58"/>
        <v>0</v>
      </c>
      <c r="AL74" s="23">
        <f t="shared" si="59"/>
        <v>0</v>
      </c>
      <c r="AN74" s="23">
        <v>21</v>
      </c>
      <c r="AO74" s="23">
        <f>G74*0.986355417</f>
        <v>0</v>
      </c>
      <c r="AP74" s="23">
        <f>G74*(1-0.986355417)</f>
        <v>0</v>
      </c>
      <c r="AQ74" s="25" t="s">
        <v>94</v>
      </c>
      <c r="AV74" s="23">
        <f t="shared" si="60"/>
        <v>0</v>
      </c>
      <c r="AW74" s="23">
        <f t="shared" si="61"/>
        <v>0</v>
      </c>
      <c r="AX74" s="23">
        <f t="shared" si="62"/>
        <v>0</v>
      </c>
      <c r="AY74" s="25" t="s">
        <v>219</v>
      </c>
      <c r="AZ74" s="25" t="s">
        <v>123</v>
      </c>
      <c r="BA74" s="8" t="s">
        <v>62</v>
      </c>
      <c r="BC74" s="23">
        <f t="shared" si="63"/>
        <v>0</v>
      </c>
      <c r="BD74" s="23">
        <f t="shared" si="64"/>
        <v>0</v>
      </c>
      <c r="BE74" s="23">
        <v>0</v>
      </c>
      <c r="BF74" s="23">
        <f>74</f>
        <v>74</v>
      </c>
      <c r="BH74" s="23">
        <f t="shared" si="65"/>
        <v>0</v>
      </c>
      <c r="BI74" s="23">
        <f t="shared" si="66"/>
        <v>0</v>
      </c>
      <c r="BJ74" s="23">
        <f t="shared" si="67"/>
        <v>0</v>
      </c>
      <c r="BK74" s="23"/>
      <c r="BL74" s="23">
        <v>723</v>
      </c>
      <c r="BW74" s="23">
        <v>21</v>
      </c>
    </row>
    <row r="75" spans="1:75" x14ac:dyDescent="0.25">
      <c r="A75" s="30"/>
      <c r="C75" s="31" t="s">
        <v>56</v>
      </c>
      <c r="D75" s="31" t="s">
        <v>246</v>
      </c>
      <c r="F75" s="32">
        <v>1</v>
      </c>
      <c r="L75" s="33"/>
    </row>
    <row r="76" spans="1:75" ht="13.5" customHeight="1" x14ac:dyDescent="0.25">
      <c r="A76" s="2" t="s">
        <v>247</v>
      </c>
      <c r="B76" s="3" t="s">
        <v>248</v>
      </c>
      <c r="C76" s="80" t="s">
        <v>249</v>
      </c>
      <c r="D76" s="75"/>
      <c r="E76" s="3" t="s">
        <v>68</v>
      </c>
      <c r="F76" s="23">
        <v>1</v>
      </c>
      <c r="G76" s="23">
        <v>0</v>
      </c>
      <c r="H76" s="23">
        <f t="shared" ref="H76:H86" si="68">F76*AO76</f>
        <v>0</v>
      </c>
      <c r="I76" s="23">
        <f t="shared" ref="I76:I86" si="69">F76*AP76</f>
        <v>0</v>
      </c>
      <c r="J76" s="23">
        <f t="shared" ref="J76:J86" si="70">F76*G76</f>
        <v>0</v>
      </c>
      <c r="K76" s="23">
        <v>3.0000000000000001E-5</v>
      </c>
      <c r="L76" s="24">
        <v>3.0000000000000001E-5</v>
      </c>
      <c r="Z76" s="23">
        <f t="shared" ref="Z76:Z86" si="71">IF(AQ76="5",BJ76,0)</f>
        <v>0</v>
      </c>
      <c r="AB76" s="23">
        <f t="shared" ref="AB76:AB86" si="72">IF(AQ76="1",BH76,0)</f>
        <v>0</v>
      </c>
      <c r="AC76" s="23">
        <f t="shared" ref="AC76:AC86" si="73">IF(AQ76="1",BI76,0)</f>
        <v>0</v>
      </c>
      <c r="AD76" s="23">
        <f t="shared" ref="AD76:AD86" si="74">IF(AQ76="7",BH76,0)</f>
        <v>0</v>
      </c>
      <c r="AE76" s="23">
        <f t="shared" ref="AE76:AE86" si="75">IF(AQ76="7",BI76,0)</f>
        <v>0</v>
      </c>
      <c r="AF76" s="23">
        <f t="shared" ref="AF76:AF86" si="76">IF(AQ76="2",BH76,0)</f>
        <v>0</v>
      </c>
      <c r="AG76" s="23">
        <f t="shared" ref="AG76:AG86" si="77">IF(AQ76="2",BI76,0)</f>
        <v>0</v>
      </c>
      <c r="AH76" s="23">
        <f t="shared" ref="AH76:AH86" si="78">IF(AQ76="0",BJ76,0)</f>
        <v>0</v>
      </c>
      <c r="AI76" s="8" t="s">
        <v>53</v>
      </c>
      <c r="AJ76" s="23">
        <f t="shared" ref="AJ76:AJ86" si="79">IF(AN76=0,J76,0)</f>
        <v>0</v>
      </c>
      <c r="AK76" s="23">
        <f t="shared" ref="AK76:AK86" si="80">IF(AN76=12,J76,0)</f>
        <v>0</v>
      </c>
      <c r="AL76" s="23">
        <f t="shared" ref="AL76:AL86" si="81">IF(AN76=21,J76,0)</f>
        <v>0</v>
      </c>
      <c r="AN76" s="23">
        <v>21</v>
      </c>
      <c r="AO76" s="23">
        <f>G76*1</f>
        <v>0</v>
      </c>
      <c r="AP76" s="23">
        <f>G76*(1-1)</f>
        <v>0</v>
      </c>
      <c r="AQ76" s="25" t="s">
        <v>94</v>
      </c>
      <c r="AV76" s="23">
        <f t="shared" ref="AV76:AV86" si="82">AW76+AX76</f>
        <v>0</v>
      </c>
      <c r="AW76" s="23">
        <f t="shared" ref="AW76:AW86" si="83">F76*AO76</f>
        <v>0</v>
      </c>
      <c r="AX76" s="23">
        <f t="shared" ref="AX76:AX86" si="84">F76*AP76</f>
        <v>0</v>
      </c>
      <c r="AY76" s="25" t="s">
        <v>219</v>
      </c>
      <c r="AZ76" s="25" t="s">
        <v>123</v>
      </c>
      <c r="BA76" s="8" t="s">
        <v>62</v>
      </c>
      <c r="BC76" s="23">
        <f t="shared" ref="BC76:BC86" si="85">AW76+AX76</f>
        <v>0</v>
      </c>
      <c r="BD76" s="23">
        <f t="shared" ref="BD76:BD86" si="86">G76/(100-BE76)*100</f>
        <v>0</v>
      </c>
      <c r="BE76" s="23">
        <v>0</v>
      </c>
      <c r="BF76" s="23">
        <f>76</f>
        <v>76</v>
      </c>
      <c r="BH76" s="23">
        <f t="shared" ref="BH76:BH86" si="87">F76*AO76</f>
        <v>0</v>
      </c>
      <c r="BI76" s="23">
        <f t="shared" ref="BI76:BI86" si="88">F76*AP76</f>
        <v>0</v>
      </c>
      <c r="BJ76" s="23">
        <f t="shared" ref="BJ76:BJ86" si="89">F76*G76</f>
        <v>0</v>
      </c>
      <c r="BK76" s="23"/>
      <c r="BL76" s="23">
        <v>723</v>
      </c>
      <c r="BW76" s="23">
        <v>21</v>
      </c>
    </row>
    <row r="77" spans="1:75" ht="13.5" customHeight="1" x14ac:dyDescent="0.25">
      <c r="A77" s="2" t="s">
        <v>250</v>
      </c>
      <c r="B77" s="3" t="s">
        <v>251</v>
      </c>
      <c r="C77" s="80" t="s">
        <v>252</v>
      </c>
      <c r="D77" s="75"/>
      <c r="E77" s="3" t="s">
        <v>68</v>
      </c>
      <c r="F77" s="23">
        <v>1</v>
      </c>
      <c r="G77" s="23">
        <v>0</v>
      </c>
      <c r="H77" s="23">
        <f t="shared" si="68"/>
        <v>0</v>
      </c>
      <c r="I77" s="23">
        <f t="shared" si="69"/>
        <v>0</v>
      </c>
      <c r="J77" s="23">
        <f t="shared" si="70"/>
        <v>0</v>
      </c>
      <c r="K77" s="23">
        <v>9.3000000000000005E-4</v>
      </c>
      <c r="L77" s="24">
        <v>9.3000000000000005E-4</v>
      </c>
      <c r="Z77" s="23">
        <f t="shared" si="71"/>
        <v>0</v>
      </c>
      <c r="AB77" s="23">
        <f t="shared" si="72"/>
        <v>0</v>
      </c>
      <c r="AC77" s="23">
        <f t="shared" si="73"/>
        <v>0</v>
      </c>
      <c r="AD77" s="23">
        <f t="shared" si="74"/>
        <v>0</v>
      </c>
      <c r="AE77" s="23">
        <f t="shared" si="75"/>
        <v>0</v>
      </c>
      <c r="AF77" s="23">
        <f t="shared" si="76"/>
        <v>0</v>
      </c>
      <c r="AG77" s="23">
        <f t="shared" si="77"/>
        <v>0</v>
      </c>
      <c r="AH77" s="23">
        <f t="shared" si="78"/>
        <v>0</v>
      </c>
      <c r="AI77" s="8" t="s">
        <v>53</v>
      </c>
      <c r="AJ77" s="23">
        <f t="shared" si="79"/>
        <v>0</v>
      </c>
      <c r="AK77" s="23">
        <f t="shared" si="80"/>
        <v>0</v>
      </c>
      <c r="AL77" s="23">
        <f t="shared" si="81"/>
        <v>0</v>
      </c>
      <c r="AN77" s="23">
        <v>21</v>
      </c>
      <c r="AO77" s="23">
        <f>G77*0.330765043</f>
        <v>0</v>
      </c>
      <c r="AP77" s="23">
        <f>G77*(1-0.330765043)</f>
        <v>0</v>
      </c>
      <c r="AQ77" s="25" t="s">
        <v>94</v>
      </c>
      <c r="AV77" s="23">
        <f t="shared" si="82"/>
        <v>0</v>
      </c>
      <c r="AW77" s="23">
        <f t="shared" si="83"/>
        <v>0</v>
      </c>
      <c r="AX77" s="23">
        <f t="shared" si="84"/>
        <v>0</v>
      </c>
      <c r="AY77" s="25" t="s">
        <v>219</v>
      </c>
      <c r="AZ77" s="25" t="s">
        <v>123</v>
      </c>
      <c r="BA77" s="8" t="s">
        <v>62</v>
      </c>
      <c r="BC77" s="23">
        <f t="shared" si="85"/>
        <v>0</v>
      </c>
      <c r="BD77" s="23">
        <f t="shared" si="86"/>
        <v>0</v>
      </c>
      <c r="BE77" s="23">
        <v>0</v>
      </c>
      <c r="BF77" s="23">
        <f>77</f>
        <v>77</v>
      </c>
      <c r="BH77" s="23">
        <f t="shared" si="87"/>
        <v>0</v>
      </c>
      <c r="BI77" s="23">
        <f t="shared" si="88"/>
        <v>0</v>
      </c>
      <c r="BJ77" s="23">
        <f t="shared" si="89"/>
        <v>0</v>
      </c>
      <c r="BK77" s="23"/>
      <c r="BL77" s="23">
        <v>723</v>
      </c>
      <c r="BW77" s="23">
        <v>21</v>
      </c>
    </row>
    <row r="78" spans="1:75" ht="13.5" customHeight="1" x14ac:dyDescent="0.25">
      <c r="A78" s="2" t="s">
        <v>253</v>
      </c>
      <c r="B78" s="3" t="s">
        <v>254</v>
      </c>
      <c r="C78" s="80" t="s">
        <v>255</v>
      </c>
      <c r="D78" s="75"/>
      <c r="E78" s="3" t="s">
        <v>68</v>
      </c>
      <c r="F78" s="23">
        <v>3</v>
      </c>
      <c r="G78" s="23">
        <v>0</v>
      </c>
      <c r="H78" s="23">
        <f t="shared" si="68"/>
        <v>0</v>
      </c>
      <c r="I78" s="23">
        <f t="shared" si="69"/>
        <v>0</v>
      </c>
      <c r="J78" s="23">
        <f t="shared" si="70"/>
        <v>0</v>
      </c>
      <c r="K78" s="23">
        <v>6.6E-4</v>
      </c>
      <c r="L78" s="24">
        <v>6.6E-4</v>
      </c>
      <c r="Z78" s="23">
        <f t="shared" si="71"/>
        <v>0</v>
      </c>
      <c r="AB78" s="23">
        <f t="shared" si="72"/>
        <v>0</v>
      </c>
      <c r="AC78" s="23">
        <f t="shared" si="73"/>
        <v>0</v>
      </c>
      <c r="AD78" s="23">
        <f t="shared" si="74"/>
        <v>0</v>
      </c>
      <c r="AE78" s="23">
        <f t="shared" si="75"/>
        <v>0</v>
      </c>
      <c r="AF78" s="23">
        <f t="shared" si="76"/>
        <v>0</v>
      </c>
      <c r="AG78" s="23">
        <f t="shared" si="77"/>
        <v>0</v>
      </c>
      <c r="AH78" s="23">
        <f t="shared" si="78"/>
        <v>0</v>
      </c>
      <c r="AI78" s="8" t="s">
        <v>53</v>
      </c>
      <c r="AJ78" s="23">
        <f t="shared" si="79"/>
        <v>0</v>
      </c>
      <c r="AK78" s="23">
        <f t="shared" si="80"/>
        <v>0</v>
      </c>
      <c r="AL78" s="23">
        <f t="shared" si="81"/>
        <v>0</v>
      </c>
      <c r="AN78" s="23">
        <v>21</v>
      </c>
      <c r="AO78" s="23">
        <f>G78*0.873913436</f>
        <v>0</v>
      </c>
      <c r="AP78" s="23">
        <f>G78*(1-0.873913436)</f>
        <v>0</v>
      </c>
      <c r="AQ78" s="25" t="s">
        <v>94</v>
      </c>
      <c r="AV78" s="23">
        <f t="shared" si="82"/>
        <v>0</v>
      </c>
      <c r="AW78" s="23">
        <f t="shared" si="83"/>
        <v>0</v>
      </c>
      <c r="AX78" s="23">
        <f t="shared" si="84"/>
        <v>0</v>
      </c>
      <c r="AY78" s="25" t="s">
        <v>219</v>
      </c>
      <c r="AZ78" s="25" t="s">
        <v>123</v>
      </c>
      <c r="BA78" s="8" t="s">
        <v>62</v>
      </c>
      <c r="BC78" s="23">
        <f t="shared" si="85"/>
        <v>0</v>
      </c>
      <c r="BD78" s="23">
        <f t="shared" si="86"/>
        <v>0</v>
      </c>
      <c r="BE78" s="23">
        <v>0</v>
      </c>
      <c r="BF78" s="23">
        <f>78</f>
        <v>78</v>
      </c>
      <c r="BH78" s="23">
        <f t="shared" si="87"/>
        <v>0</v>
      </c>
      <c r="BI78" s="23">
        <f t="shared" si="88"/>
        <v>0</v>
      </c>
      <c r="BJ78" s="23">
        <f t="shared" si="89"/>
        <v>0</v>
      </c>
      <c r="BK78" s="23"/>
      <c r="BL78" s="23">
        <v>723</v>
      </c>
      <c r="BW78" s="23">
        <v>21</v>
      </c>
    </row>
    <row r="79" spans="1:75" ht="13.5" customHeight="1" x14ac:dyDescent="0.25">
      <c r="A79" s="2" t="s">
        <v>256</v>
      </c>
      <c r="B79" s="3" t="s">
        <v>257</v>
      </c>
      <c r="C79" s="80" t="s">
        <v>258</v>
      </c>
      <c r="D79" s="75"/>
      <c r="E79" s="3" t="s">
        <v>68</v>
      </c>
      <c r="F79" s="23">
        <v>3</v>
      </c>
      <c r="G79" s="23">
        <v>0</v>
      </c>
      <c r="H79" s="23">
        <f t="shared" si="68"/>
        <v>0</v>
      </c>
      <c r="I79" s="23">
        <f t="shared" si="69"/>
        <v>0</v>
      </c>
      <c r="J79" s="23">
        <f t="shared" si="70"/>
        <v>0</v>
      </c>
      <c r="K79" s="23">
        <v>5.1000000000000004E-4</v>
      </c>
      <c r="L79" s="24">
        <v>5.1000000000000004E-4</v>
      </c>
      <c r="Z79" s="23">
        <f t="shared" si="71"/>
        <v>0</v>
      </c>
      <c r="AB79" s="23">
        <f t="shared" si="72"/>
        <v>0</v>
      </c>
      <c r="AC79" s="23">
        <f t="shared" si="73"/>
        <v>0</v>
      </c>
      <c r="AD79" s="23">
        <f t="shared" si="74"/>
        <v>0</v>
      </c>
      <c r="AE79" s="23">
        <f t="shared" si="75"/>
        <v>0</v>
      </c>
      <c r="AF79" s="23">
        <f t="shared" si="76"/>
        <v>0</v>
      </c>
      <c r="AG79" s="23">
        <f t="shared" si="77"/>
        <v>0</v>
      </c>
      <c r="AH79" s="23">
        <f t="shared" si="78"/>
        <v>0</v>
      </c>
      <c r="AI79" s="8" t="s">
        <v>53</v>
      </c>
      <c r="AJ79" s="23">
        <f t="shared" si="79"/>
        <v>0</v>
      </c>
      <c r="AK79" s="23">
        <f t="shared" si="80"/>
        <v>0</v>
      </c>
      <c r="AL79" s="23">
        <f t="shared" si="81"/>
        <v>0</v>
      </c>
      <c r="AN79" s="23">
        <v>21</v>
      </c>
      <c r="AO79" s="23">
        <f>G79*0.90358804</f>
        <v>0</v>
      </c>
      <c r="AP79" s="23">
        <f>G79*(1-0.90358804)</f>
        <v>0</v>
      </c>
      <c r="AQ79" s="25" t="s">
        <v>94</v>
      </c>
      <c r="AV79" s="23">
        <f t="shared" si="82"/>
        <v>0</v>
      </c>
      <c r="AW79" s="23">
        <f t="shared" si="83"/>
        <v>0</v>
      </c>
      <c r="AX79" s="23">
        <f t="shared" si="84"/>
        <v>0</v>
      </c>
      <c r="AY79" s="25" t="s">
        <v>219</v>
      </c>
      <c r="AZ79" s="25" t="s">
        <v>123</v>
      </c>
      <c r="BA79" s="8" t="s">
        <v>62</v>
      </c>
      <c r="BC79" s="23">
        <f t="shared" si="85"/>
        <v>0</v>
      </c>
      <c r="BD79" s="23">
        <f t="shared" si="86"/>
        <v>0</v>
      </c>
      <c r="BE79" s="23">
        <v>0</v>
      </c>
      <c r="BF79" s="23">
        <f>79</f>
        <v>79</v>
      </c>
      <c r="BH79" s="23">
        <f t="shared" si="87"/>
        <v>0</v>
      </c>
      <c r="BI79" s="23">
        <f t="shared" si="88"/>
        <v>0</v>
      </c>
      <c r="BJ79" s="23">
        <f t="shared" si="89"/>
        <v>0</v>
      </c>
      <c r="BK79" s="23"/>
      <c r="BL79" s="23">
        <v>723</v>
      </c>
      <c r="BW79" s="23">
        <v>21</v>
      </c>
    </row>
    <row r="80" spans="1:75" ht="13.5" customHeight="1" x14ac:dyDescent="0.25">
      <c r="A80" s="2" t="s">
        <v>259</v>
      </c>
      <c r="B80" s="3" t="s">
        <v>260</v>
      </c>
      <c r="C80" s="80" t="s">
        <v>261</v>
      </c>
      <c r="D80" s="75"/>
      <c r="E80" s="3" t="s">
        <v>102</v>
      </c>
      <c r="F80" s="23">
        <v>1</v>
      </c>
      <c r="G80" s="23">
        <v>0</v>
      </c>
      <c r="H80" s="23">
        <f t="shared" si="68"/>
        <v>0</v>
      </c>
      <c r="I80" s="23">
        <f t="shared" si="69"/>
        <v>0</v>
      </c>
      <c r="J80" s="23">
        <f t="shared" si="70"/>
        <v>0</v>
      </c>
      <c r="K80" s="23">
        <v>1.238E-2</v>
      </c>
      <c r="L80" s="24">
        <v>1.238E-2</v>
      </c>
      <c r="Z80" s="23">
        <f t="shared" si="71"/>
        <v>0</v>
      </c>
      <c r="AB80" s="23">
        <f t="shared" si="72"/>
        <v>0</v>
      </c>
      <c r="AC80" s="23">
        <f t="shared" si="73"/>
        <v>0</v>
      </c>
      <c r="AD80" s="23">
        <f t="shared" si="74"/>
        <v>0</v>
      </c>
      <c r="AE80" s="23">
        <f t="shared" si="75"/>
        <v>0</v>
      </c>
      <c r="AF80" s="23">
        <f t="shared" si="76"/>
        <v>0</v>
      </c>
      <c r="AG80" s="23">
        <f t="shared" si="77"/>
        <v>0</v>
      </c>
      <c r="AH80" s="23">
        <f t="shared" si="78"/>
        <v>0</v>
      </c>
      <c r="AI80" s="8" t="s">
        <v>53</v>
      </c>
      <c r="AJ80" s="23">
        <f t="shared" si="79"/>
        <v>0</v>
      </c>
      <c r="AK80" s="23">
        <f t="shared" si="80"/>
        <v>0</v>
      </c>
      <c r="AL80" s="23">
        <f t="shared" si="81"/>
        <v>0</v>
      </c>
      <c r="AN80" s="23">
        <v>21</v>
      </c>
      <c r="AO80" s="23">
        <f>G80*0.475198188</f>
        <v>0</v>
      </c>
      <c r="AP80" s="23">
        <f>G80*(1-0.475198188)</f>
        <v>0</v>
      </c>
      <c r="AQ80" s="25" t="s">
        <v>94</v>
      </c>
      <c r="AV80" s="23">
        <f t="shared" si="82"/>
        <v>0</v>
      </c>
      <c r="AW80" s="23">
        <f t="shared" si="83"/>
        <v>0</v>
      </c>
      <c r="AX80" s="23">
        <f t="shared" si="84"/>
        <v>0</v>
      </c>
      <c r="AY80" s="25" t="s">
        <v>219</v>
      </c>
      <c r="AZ80" s="25" t="s">
        <v>123</v>
      </c>
      <c r="BA80" s="8" t="s">
        <v>62</v>
      </c>
      <c r="BC80" s="23">
        <f t="shared" si="85"/>
        <v>0</v>
      </c>
      <c r="BD80" s="23">
        <f t="shared" si="86"/>
        <v>0</v>
      </c>
      <c r="BE80" s="23">
        <v>0</v>
      </c>
      <c r="BF80" s="23">
        <f>80</f>
        <v>80</v>
      </c>
      <c r="BH80" s="23">
        <f t="shared" si="87"/>
        <v>0</v>
      </c>
      <c r="BI80" s="23">
        <f t="shared" si="88"/>
        <v>0</v>
      </c>
      <c r="BJ80" s="23">
        <f t="shared" si="89"/>
        <v>0</v>
      </c>
      <c r="BK80" s="23"/>
      <c r="BL80" s="23">
        <v>723</v>
      </c>
      <c r="BW80" s="23">
        <v>21</v>
      </c>
    </row>
    <row r="81" spans="1:75" ht="13.5" customHeight="1" x14ac:dyDescent="0.25">
      <c r="A81" s="2" t="s">
        <v>262</v>
      </c>
      <c r="B81" s="3" t="s">
        <v>263</v>
      </c>
      <c r="C81" s="80" t="s">
        <v>264</v>
      </c>
      <c r="D81" s="75"/>
      <c r="E81" s="3" t="s">
        <v>102</v>
      </c>
      <c r="F81" s="23">
        <v>6</v>
      </c>
      <c r="G81" s="23">
        <v>0</v>
      </c>
      <c r="H81" s="23">
        <f t="shared" si="68"/>
        <v>0</v>
      </c>
      <c r="I81" s="23">
        <f t="shared" si="69"/>
        <v>0</v>
      </c>
      <c r="J81" s="23">
        <f t="shared" si="70"/>
        <v>0</v>
      </c>
      <c r="K81" s="23">
        <v>1.2489999999999999E-2</v>
      </c>
      <c r="L81" s="24">
        <v>1.2489999999999999E-2</v>
      </c>
      <c r="Z81" s="23">
        <f t="shared" si="71"/>
        <v>0</v>
      </c>
      <c r="AB81" s="23">
        <f t="shared" si="72"/>
        <v>0</v>
      </c>
      <c r="AC81" s="23">
        <f t="shared" si="73"/>
        <v>0</v>
      </c>
      <c r="AD81" s="23">
        <f t="shared" si="74"/>
        <v>0</v>
      </c>
      <c r="AE81" s="23">
        <f t="shared" si="75"/>
        <v>0</v>
      </c>
      <c r="AF81" s="23">
        <f t="shared" si="76"/>
        <v>0</v>
      </c>
      <c r="AG81" s="23">
        <f t="shared" si="77"/>
        <v>0</v>
      </c>
      <c r="AH81" s="23">
        <f t="shared" si="78"/>
        <v>0</v>
      </c>
      <c r="AI81" s="8" t="s">
        <v>53</v>
      </c>
      <c r="AJ81" s="23">
        <f t="shared" si="79"/>
        <v>0</v>
      </c>
      <c r="AK81" s="23">
        <f t="shared" si="80"/>
        <v>0</v>
      </c>
      <c r="AL81" s="23">
        <f t="shared" si="81"/>
        <v>0</v>
      </c>
      <c r="AN81" s="23">
        <v>21</v>
      </c>
      <c r="AO81" s="23">
        <f>G81*0.422709285</f>
        <v>0</v>
      </c>
      <c r="AP81" s="23">
        <f>G81*(1-0.422709285)</f>
        <v>0</v>
      </c>
      <c r="AQ81" s="25" t="s">
        <v>94</v>
      </c>
      <c r="AV81" s="23">
        <f t="shared" si="82"/>
        <v>0</v>
      </c>
      <c r="AW81" s="23">
        <f t="shared" si="83"/>
        <v>0</v>
      </c>
      <c r="AX81" s="23">
        <f t="shared" si="84"/>
        <v>0</v>
      </c>
      <c r="AY81" s="25" t="s">
        <v>219</v>
      </c>
      <c r="AZ81" s="25" t="s">
        <v>123</v>
      </c>
      <c r="BA81" s="8" t="s">
        <v>62</v>
      </c>
      <c r="BC81" s="23">
        <f t="shared" si="85"/>
        <v>0</v>
      </c>
      <c r="BD81" s="23">
        <f t="shared" si="86"/>
        <v>0</v>
      </c>
      <c r="BE81" s="23">
        <v>0</v>
      </c>
      <c r="BF81" s="23">
        <f>81</f>
        <v>81</v>
      </c>
      <c r="BH81" s="23">
        <f t="shared" si="87"/>
        <v>0</v>
      </c>
      <c r="BI81" s="23">
        <f t="shared" si="88"/>
        <v>0</v>
      </c>
      <c r="BJ81" s="23">
        <f t="shared" si="89"/>
        <v>0</v>
      </c>
      <c r="BK81" s="23"/>
      <c r="BL81" s="23">
        <v>723</v>
      </c>
      <c r="BW81" s="23">
        <v>21</v>
      </c>
    </row>
    <row r="82" spans="1:75" ht="13.5" customHeight="1" x14ac:dyDescent="0.25">
      <c r="A82" s="2" t="s">
        <v>83</v>
      </c>
      <c r="B82" s="3" t="s">
        <v>265</v>
      </c>
      <c r="C82" s="80" t="s">
        <v>266</v>
      </c>
      <c r="D82" s="75"/>
      <c r="E82" s="3" t="s">
        <v>102</v>
      </c>
      <c r="F82" s="23">
        <v>5</v>
      </c>
      <c r="G82" s="23">
        <v>0</v>
      </c>
      <c r="H82" s="23">
        <f t="shared" si="68"/>
        <v>0</v>
      </c>
      <c r="I82" s="23">
        <f t="shared" si="69"/>
        <v>0</v>
      </c>
      <c r="J82" s="23">
        <f t="shared" si="70"/>
        <v>0</v>
      </c>
      <c r="K82" s="23">
        <v>8.5800000000000008E-3</v>
      </c>
      <c r="L82" s="24">
        <v>8.5800000000000008E-3</v>
      </c>
      <c r="Z82" s="23">
        <f t="shared" si="71"/>
        <v>0</v>
      </c>
      <c r="AB82" s="23">
        <f t="shared" si="72"/>
        <v>0</v>
      </c>
      <c r="AC82" s="23">
        <f t="shared" si="73"/>
        <v>0</v>
      </c>
      <c r="AD82" s="23">
        <f t="shared" si="74"/>
        <v>0</v>
      </c>
      <c r="AE82" s="23">
        <f t="shared" si="75"/>
        <v>0</v>
      </c>
      <c r="AF82" s="23">
        <f t="shared" si="76"/>
        <v>0</v>
      </c>
      <c r="AG82" s="23">
        <f t="shared" si="77"/>
        <v>0</v>
      </c>
      <c r="AH82" s="23">
        <f t="shared" si="78"/>
        <v>0</v>
      </c>
      <c r="AI82" s="8" t="s">
        <v>53</v>
      </c>
      <c r="AJ82" s="23">
        <f t="shared" si="79"/>
        <v>0</v>
      </c>
      <c r="AK82" s="23">
        <f t="shared" si="80"/>
        <v>0</v>
      </c>
      <c r="AL82" s="23">
        <f t="shared" si="81"/>
        <v>0</v>
      </c>
      <c r="AN82" s="23">
        <v>21</v>
      </c>
      <c r="AO82" s="23">
        <f>G82*0.3128</f>
        <v>0</v>
      </c>
      <c r="AP82" s="23">
        <f>G82*(1-0.3128)</f>
        <v>0</v>
      </c>
      <c r="AQ82" s="25" t="s">
        <v>94</v>
      </c>
      <c r="AV82" s="23">
        <f t="shared" si="82"/>
        <v>0</v>
      </c>
      <c r="AW82" s="23">
        <f t="shared" si="83"/>
        <v>0</v>
      </c>
      <c r="AX82" s="23">
        <f t="shared" si="84"/>
        <v>0</v>
      </c>
      <c r="AY82" s="25" t="s">
        <v>219</v>
      </c>
      <c r="AZ82" s="25" t="s">
        <v>123</v>
      </c>
      <c r="BA82" s="8" t="s">
        <v>62</v>
      </c>
      <c r="BC82" s="23">
        <f t="shared" si="85"/>
        <v>0</v>
      </c>
      <c r="BD82" s="23">
        <f t="shared" si="86"/>
        <v>0</v>
      </c>
      <c r="BE82" s="23">
        <v>0</v>
      </c>
      <c r="BF82" s="23">
        <f>82</f>
        <v>82</v>
      </c>
      <c r="BH82" s="23">
        <f t="shared" si="87"/>
        <v>0</v>
      </c>
      <c r="BI82" s="23">
        <f t="shared" si="88"/>
        <v>0</v>
      </c>
      <c r="BJ82" s="23">
        <f t="shared" si="89"/>
        <v>0</v>
      </c>
      <c r="BK82" s="23"/>
      <c r="BL82" s="23">
        <v>723</v>
      </c>
      <c r="BW82" s="23">
        <v>21</v>
      </c>
    </row>
    <row r="83" spans="1:75" ht="13.5" customHeight="1" x14ac:dyDescent="0.25">
      <c r="A83" s="2" t="s">
        <v>267</v>
      </c>
      <c r="B83" s="3" t="s">
        <v>268</v>
      </c>
      <c r="C83" s="80" t="s">
        <v>269</v>
      </c>
      <c r="D83" s="75"/>
      <c r="E83" s="3" t="s">
        <v>102</v>
      </c>
      <c r="F83" s="23">
        <v>1</v>
      </c>
      <c r="G83" s="23">
        <v>0</v>
      </c>
      <c r="H83" s="23">
        <f t="shared" si="68"/>
        <v>0</v>
      </c>
      <c r="I83" s="23">
        <f t="shared" si="69"/>
        <v>0</v>
      </c>
      <c r="J83" s="23">
        <f t="shared" si="70"/>
        <v>0</v>
      </c>
      <c r="K83" s="23">
        <v>8.1799999999999998E-3</v>
      </c>
      <c r="L83" s="24">
        <v>8.1799999999999998E-3</v>
      </c>
      <c r="Z83" s="23">
        <f t="shared" si="71"/>
        <v>0</v>
      </c>
      <c r="AB83" s="23">
        <f t="shared" si="72"/>
        <v>0</v>
      </c>
      <c r="AC83" s="23">
        <f t="shared" si="73"/>
        <v>0</v>
      </c>
      <c r="AD83" s="23">
        <f t="shared" si="74"/>
        <v>0</v>
      </c>
      <c r="AE83" s="23">
        <f t="shared" si="75"/>
        <v>0</v>
      </c>
      <c r="AF83" s="23">
        <f t="shared" si="76"/>
        <v>0</v>
      </c>
      <c r="AG83" s="23">
        <f t="shared" si="77"/>
        <v>0</v>
      </c>
      <c r="AH83" s="23">
        <f t="shared" si="78"/>
        <v>0</v>
      </c>
      <c r="AI83" s="8" t="s">
        <v>53</v>
      </c>
      <c r="AJ83" s="23">
        <f t="shared" si="79"/>
        <v>0</v>
      </c>
      <c r="AK83" s="23">
        <f t="shared" si="80"/>
        <v>0</v>
      </c>
      <c r="AL83" s="23">
        <f t="shared" si="81"/>
        <v>0</v>
      </c>
      <c r="AN83" s="23">
        <v>21</v>
      </c>
      <c r="AO83" s="23">
        <f>G83*0.305245283</f>
        <v>0</v>
      </c>
      <c r="AP83" s="23">
        <f>G83*(1-0.305245283)</f>
        <v>0</v>
      </c>
      <c r="AQ83" s="25" t="s">
        <v>94</v>
      </c>
      <c r="AV83" s="23">
        <f t="shared" si="82"/>
        <v>0</v>
      </c>
      <c r="AW83" s="23">
        <f t="shared" si="83"/>
        <v>0</v>
      </c>
      <c r="AX83" s="23">
        <f t="shared" si="84"/>
        <v>0</v>
      </c>
      <c r="AY83" s="25" t="s">
        <v>219</v>
      </c>
      <c r="AZ83" s="25" t="s">
        <v>123</v>
      </c>
      <c r="BA83" s="8" t="s">
        <v>62</v>
      </c>
      <c r="BC83" s="23">
        <f t="shared" si="85"/>
        <v>0</v>
      </c>
      <c r="BD83" s="23">
        <f t="shared" si="86"/>
        <v>0</v>
      </c>
      <c r="BE83" s="23">
        <v>0</v>
      </c>
      <c r="BF83" s="23">
        <f>83</f>
        <v>83</v>
      </c>
      <c r="BH83" s="23">
        <f t="shared" si="87"/>
        <v>0</v>
      </c>
      <c r="BI83" s="23">
        <f t="shared" si="88"/>
        <v>0</v>
      </c>
      <c r="BJ83" s="23">
        <f t="shared" si="89"/>
        <v>0</v>
      </c>
      <c r="BK83" s="23"/>
      <c r="BL83" s="23">
        <v>723</v>
      </c>
      <c r="BW83" s="23">
        <v>21</v>
      </c>
    </row>
    <row r="84" spans="1:75" ht="13.5" customHeight="1" x14ac:dyDescent="0.25">
      <c r="A84" s="2" t="s">
        <v>270</v>
      </c>
      <c r="B84" s="3" t="s">
        <v>271</v>
      </c>
      <c r="C84" s="80" t="s">
        <v>272</v>
      </c>
      <c r="D84" s="75"/>
      <c r="E84" s="3" t="s">
        <v>68</v>
      </c>
      <c r="F84" s="23">
        <v>1</v>
      </c>
      <c r="G84" s="23">
        <v>0</v>
      </c>
      <c r="H84" s="23">
        <f t="shared" si="68"/>
        <v>0</v>
      </c>
      <c r="I84" s="23">
        <f t="shared" si="69"/>
        <v>0</v>
      </c>
      <c r="J84" s="23">
        <f t="shared" si="70"/>
        <v>0</v>
      </c>
      <c r="K84" s="23">
        <v>2.3999999999999998E-3</v>
      </c>
      <c r="L84" s="24">
        <v>2.3999999999999998E-3</v>
      </c>
      <c r="Z84" s="23">
        <f t="shared" si="71"/>
        <v>0</v>
      </c>
      <c r="AB84" s="23">
        <f t="shared" si="72"/>
        <v>0</v>
      </c>
      <c r="AC84" s="23">
        <f t="shared" si="73"/>
        <v>0</v>
      </c>
      <c r="AD84" s="23">
        <f t="shared" si="74"/>
        <v>0</v>
      </c>
      <c r="AE84" s="23">
        <f t="shared" si="75"/>
        <v>0</v>
      </c>
      <c r="AF84" s="23">
        <f t="shared" si="76"/>
        <v>0</v>
      </c>
      <c r="AG84" s="23">
        <f t="shared" si="77"/>
        <v>0</v>
      </c>
      <c r="AH84" s="23">
        <f t="shared" si="78"/>
        <v>0</v>
      </c>
      <c r="AI84" s="8" t="s">
        <v>53</v>
      </c>
      <c r="AJ84" s="23">
        <f t="shared" si="79"/>
        <v>0</v>
      </c>
      <c r="AK84" s="23">
        <f t="shared" si="80"/>
        <v>0</v>
      </c>
      <c r="AL84" s="23">
        <f t="shared" si="81"/>
        <v>0</v>
      </c>
      <c r="AN84" s="23">
        <v>21</v>
      </c>
      <c r="AO84" s="23">
        <f>G84*0.636591854</f>
        <v>0</v>
      </c>
      <c r="AP84" s="23">
        <f>G84*(1-0.636591854)</f>
        <v>0</v>
      </c>
      <c r="AQ84" s="25" t="s">
        <v>94</v>
      </c>
      <c r="AV84" s="23">
        <f t="shared" si="82"/>
        <v>0</v>
      </c>
      <c r="AW84" s="23">
        <f t="shared" si="83"/>
        <v>0</v>
      </c>
      <c r="AX84" s="23">
        <f t="shared" si="84"/>
        <v>0</v>
      </c>
      <c r="AY84" s="25" t="s">
        <v>219</v>
      </c>
      <c r="AZ84" s="25" t="s">
        <v>123</v>
      </c>
      <c r="BA84" s="8" t="s">
        <v>62</v>
      </c>
      <c r="BC84" s="23">
        <f t="shared" si="85"/>
        <v>0</v>
      </c>
      <c r="BD84" s="23">
        <f t="shared" si="86"/>
        <v>0</v>
      </c>
      <c r="BE84" s="23">
        <v>0</v>
      </c>
      <c r="BF84" s="23">
        <f>84</f>
        <v>84</v>
      </c>
      <c r="BH84" s="23">
        <f t="shared" si="87"/>
        <v>0</v>
      </c>
      <c r="BI84" s="23">
        <f t="shared" si="88"/>
        <v>0</v>
      </c>
      <c r="BJ84" s="23">
        <f t="shared" si="89"/>
        <v>0</v>
      </c>
      <c r="BK84" s="23"/>
      <c r="BL84" s="23">
        <v>723</v>
      </c>
      <c r="BW84" s="23">
        <v>21</v>
      </c>
    </row>
    <row r="85" spans="1:75" ht="13.5" customHeight="1" x14ac:dyDescent="0.25">
      <c r="A85" s="2" t="s">
        <v>273</v>
      </c>
      <c r="B85" s="3" t="s">
        <v>274</v>
      </c>
      <c r="C85" s="80" t="s">
        <v>275</v>
      </c>
      <c r="D85" s="75"/>
      <c r="E85" s="3" t="s">
        <v>68</v>
      </c>
      <c r="F85" s="23">
        <v>5</v>
      </c>
      <c r="G85" s="23">
        <v>0</v>
      </c>
      <c r="H85" s="23">
        <f t="shared" si="68"/>
        <v>0</v>
      </c>
      <c r="I85" s="23">
        <f t="shared" si="69"/>
        <v>0</v>
      </c>
      <c r="J85" s="23">
        <f t="shared" si="70"/>
        <v>0</v>
      </c>
      <c r="K85" s="23">
        <v>2.5000000000000001E-4</v>
      </c>
      <c r="L85" s="24">
        <v>2.5000000000000001E-4</v>
      </c>
      <c r="Z85" s="23">
        <f t="shared" si="71"/>
        <v>0</v>
      </c>
      <c r="AB85" s="23">
        <f t="shared" si="72"/>
        <v>0</v>
      </c>
      <c r="AC85" s="23">
        <f t="shared" si="73"/>
        <v>0</v>
      </c>
      <c r="AD85" s="23">
        <f t="shared" si="74"/>
        <v>0</v>
      </c>
      <c r="AE85" s="23">
        <f t="shared" si="75"/>
        <v>0</v>
      </c>
      <c r="AF85" s="23">
        <f t="shared" si="76"/>
        <v>0</v>
      </c>
      <c r="AG85" s="23">
        <f t="shared" si="77"/>
        <v>0</v>
      </c>
      <c r="AH85" s="23">
        <f t="shared" si="78"/>
        <v>0</v>
      </c>
      <c r="AI85" s="8" t="s">
        <v>53</v>
      </c>
      <c r="AJ85" s="23">
        <f t="shared" si="79"/>
        <v>0</v>
      </c>
      <c r="AK85" s="23">
        <f t="shared" si="80"/>
        <v>0</v>
      </c>
      <c r="AL85" s="23">
        <f t="shared" si="81"/>
        <v>0</v>
      </c>
      <c r="AN85" s="23">
        <v>21</v>
      </c>
      <c r="AO85" s="23">
        <f>G85*0.341586207</f>
        <v>0</v>
      </c>
      <c r="AP85" s="23">
        <f>G85*(1-0.341586207)</f>
        <v>0</v>
      </c>
      <c r="AQ85" s="25" t="s">
        <v>94</v>
      </c>
      <c r="AV85" s="23">
        <f t="shared" si="82"/>
        <v>0</v>
      </c>
      <c r="AW85" s="23">
        <f t="shared" si="83"/>
        <v>0</v>
      </c>
      <c r="AX85" s="23">
        <f t="shared" si="84"/>
        <v>0</v>
      </c>
      <c r="AY85" s="25" t="s">
        <v>219</v>
      </c>
      <c r="AZ85" s="25" t="s">
        <v>123</v>
      </c>
      <c r="BA85" s="8" t="s">
        <v>62</v>
      </c>
      <c r="BC85" s="23">
        <f t="shared" si="85"/>
        <v>0</v>
      </c>
      <c r="BD85" s="23">
        <f t="shared" si="86"/>
        <v>0</v>
      </c>
      <c r="BE85" s="23">
        <v>0</v>
      </c>
      <c r="BF85" s="23">
        <f>85</f>
        <v>85</v>
      </c>
      <c r="BH85" s="23">
        <f t="shared" si="87"/>
        <v>0</v>
      </c>
      <c r="BI85" s="23">
        <f t="shared" si="88"/>
        <v>0</v>
      </c>
      <c r="BJ85" s="23">
        <f t="shared" si="89"/>
        <v>0</v>
      </c>
      <c r="BK85" s="23"/>
      <c r="BL85" s="23">
        <v>723</v>
      </c>
      <c r="BW85" s="23">
        <v>21</v>
      </c>
    </row>
    <row r="86" spans="1:75" ht="13.5" customHeight="1" x14ac:dyDescent="0.25">
      <c r="A86" s="2" t="s">
        <v>276</v>
      </c>
      <c r="B86" s="3" t="s">
        <v>277</v>
      </c>
      <c r="C86" s="80" t="s">
        <v>278</v>
      </c>
      <c r="D86" s="75"/>
      <c r="E86" s="3" t="s">
        <v>68</v>
      </c>
      <c r="F86" s="23">
        <v>1</v>
      </c>
      <c r="G86" s="23">
        <v>0</v>
      </c>
      <c r="H86" s="23">
        <f t="shared" si="68"/>
        <v>0</v>
      </c>
      <c r="I86" s="23">
        <f t="shared" si="69"/>
        <v>0</v>
      </c>
      <c r="J86" s="23">
        <f t="shared" si="70"/>
        <v>0</v>
      </c>
      <c r="K86" s="23">
        <v>1.6000000000000001E-3</v>
      </c>
      <c r="L86" s="24">
        <v>1.6000000000000001E-3</v>
      </c>
      <c r="Z86" s="23">
        <f t="shared" si="71"/>
        <v>0</v>
      </c>
      <c r="AB86" s="23">
        <f t="shared" si="72"/>
        <v>0</v>
      </c>
      <c r="AC86" s="23">
        <f t="shared" si="73"/>
        <v>0</v>
      </c>
      <c r="AD86" s="23">
        <f t="shared" si="74"/>
        <v>0</v>
      </c>
      <c r="AE86" s="23">
        <f t="shared" si="75"/>
        <v>0</v>
      </c>
      <c r="AF86" s="23">
        <f t="shared" si="76"/>
        <v>0</v>
      </c>
      <c r="AG86" s="23">
        <f t="shared" si="77"/>
        <v>0</v>
      </c>
      <c r="AH86" s="23">
        <f t="shared" si="78"/>
        <v>0</v>
      </c>
      <c r="AI86" s="8" t="s">
        <v>53</v>
      </c>
      <c r="AJ86" s="23">
        <f t="shared" si="79"/>
        <v>0</v>
      </c>
      <c r="AK86" s="23">
        <f t="shared" si="80"/>
        <v>0</v>
      </c>
      <c r="AL86" s="23">
        <f t="shared" si="81"/>
        <v>0</v>
      </c>
      <c r="AN86" s="23">
        <v>21</v>
      </c>
      <c r="AO86" s="23">
        <f>G86*1</f>
        <v>0</v>
      </c>
      <c r="AP86" s="23">
        <f>G86*(1-1)</f>
        <v>0</v>
      </c>
      <c r="AQ86" s="25" t="s">
        <v>94</v>
      </c>
      <c r="AV86" s="23">
        <f t="shared" si="82"/>
        <v>0</v>
      </c>
      <c r="AW86" s="23">
        <f t="shared" si="83"/>
        <v>0</v>
      </c>
      <c r="AX86" s="23">
        <f t="shared" si="84"/>
        <v>0</v>
      </c>
      <c r="AY86" s="25" t="s">
        <v>219</v>
      </c>
      <c r="AZ86" s="25" t="s">
        <v>123</v>
      </c>
      <c r="BA86" s="8" t="s">
        <v>62</v>
      </c>
      <c r="BC86" s="23">
        <f t="shared" si="85"/>
        <v>0</v>
      </c>
      <c r="BD86" s="23">
        <f t="shared" si="86"/>
        <v>0</v>
      </c>
      <c r="BE86" s="23">
        <v>0</v>
      </c>
      <c r="BF86" s="23">
        <f>86</f>
        <v>86</v>
      </c>
      <c r="BH86" s="23">
        <f t="shared" si="87"/>
        <v>0</v>
      </c>
      <c r="BI86" s="23">
        <f t="shared" si="88"/>
        <v>0</v>
      </c>
      <c r="BJ86" s="23">
        <f t="shared" si="89"/>
        <v>0</v>
      </c>
      <c r="BK86" s="23"/>
      <c r="BL86" s="23">
        <v>723</v>
      </c>
      <c r="BW86" s="23">
        <v>21</v>
      </c>
    </row>
    <row r="87" spans="1:75" x14ac:dyDescent="0.25">
      <c r="A87" s="26" t="s">
        <v>53</v>
      </c>
      <c r="B87" s="27" t="s">
        <v>279</v>
      </c>
      <c r="C87" s="98" t="s">
        <v>280</v>
      </c>
      <c r="D87" s="99"/>
      <c r="E87" s="28" t="s">
        <v>10</v>
      </c>
      <c r="F87" s="28" t="s">
        <v>10</v>
      </c>
      <c r="G87" s="28" t="s">
        <v>10</v>
      </c>
      <c r="H87" s="1">
        <f>SUM(H88:H94)</f>
        <v>0</v>
      </c>
      <c r="I87" s="1">
        <f>SUM(I88:I94)</f>
        <v>0</v>
      </c>
      <c r="J87" s="1">
        <f>SUM(J88:J94)</f>
        <v>0</v>
      </c>
      <c r="K87" s="8" t="s">
        <v>53</v>
      </c>
      <c r="L87" s="29" t="s">
        <v>53</v>
      </c>
      <c r="AI87" s="8" t="s">
        <v>53</v>
      </c>
      <c r="AS87" s="1">
        <f>SUM(AJ88:AJ94)</f>
        <v>0</v>
      </c>
      <c r="AT87" s="1">
        <f>SUM(AK88:AK94)</f>
        <v>0</v>
      </c>
      <c r="AU87" s="1">
        <f>SUM(AL88:AL94)</f>
        <v>0</v>
      </c>
    </row>
    <row r="88" spans="1:75" ht="13.5" customHeight="1" x14ac:dyDescent="0.25">
      <c r="A88" s="2" t="s">
        <v>281</v>
      </c>
      <c r="B88" s="3" t="s">
        <v>282</v>
      </c>
      <c r="C88" s="80" t="s">
        <v>283</v>
      </c>
      <c r="D88" s="75"/>
      <c r="E88" s="3" t="s">
        <v>68</v>
      </c>
      <c r="F88" s="23">
        <v>3</v>
      </c>
      <c r="G88" s="23">
        <v>0</v>
      </c>
      <c r="H88" s="23">
        <f t="shared" ref="H88:H94" si="90">F88*AO88</f>
        <v>0</v>
      </c>
      <c r="I88" s="23">
        <f t="shared" ref="I88:I94" si="91">F88*AP88</f>
        <v>0</v>
      </c>
      <c r="J88" s="23">
        <f t="shared" ref="J88:J94" si="92">F88*G88</f>
        <v>0</v>
      </c>
      <c r="K88" s="23">
        <v>0</v>
      </c>
      <c r="L88" s="24">
        <v>0</v>
      </c>
      <c r="Z88" s="23">
        <f t="shared" ref="Z88:Z94" si="93">IF(AQ88="5",BJ88,0)</f>
        <v>0</v>
      </c>
      <c r="AB88" s="23">
        <f t="shared" ref="AB88:AB94" si="94">IF(AQ88="1",BH88,0)</f>
        <v>0</v>
      </c>
      <c r="AC88" s="23">
        <f t="shared" ref="AC88:AC94" si="95">IF(AQ88="1",BI88,0)</f>
        <v>0</v>
      </c>
      <c r="AD88" s="23">
        <f t="shared" ref="AD88:AD94" si="96">IF(AQ88="7",BH88,0)</f>
        <v>0</v>
      </c>
      <c r="AE88" s="23">
        <f t="shared" ref="AE88:AE94" si="97">IF(AQ88="7",BI88,0)</f>
        <v>0</v>
      </c>
      <c r="AF88" s="23">
        <f t="shared" ref="AF88:AF94" si="98">IF(AQ88="2",BH88,0)</f>
        <v>0</v>
      </c>
      <c r="AG88" s="23">
        <f t="shared" ref="AG88:AG94" si="99">IF(AQ88="2",BI88,0)</f>
        <v>0</v>
      </c>
      <c r="AH88" s="23">
        <f t="shared" ref="AH88:AH94" si="100">IF(AQ88="0",BJ88,0)</f>
        <v>0</v>
      </c>
      <c r="AI88" s="8" t="s">
        <v>53</v>
      </c>
      <c r="AJ88" s="23">
        <f t="shared" ref="AJ88:AJ94" si="101">IF(AN88=0,J88,0)</f>
        <v>0</v>
      </c>
      <c r="AK88" s="23">
        <f t="shared" ref="AK88:AK94" si="102">IF(AN88=12,J88,0)</f>
        <v>0</v>
      </c>
      <c r="AL88" s="23">
        <f t="shared" ref="AL88:AL94" si="103">IF(AN88=21,J88,0)</f>
        <v>0</v>
      </c>
      <c r="AN88" s="23">
        <v>21</v>
      </c>
      <c r="AO88" s="23">
        <f>G88*0</f>
        <v>0</v>
      </c>
      <c r="AP88" s="23">
        <f>G88*(1-0)</f>
        <v>0</v>
      </c>
      <c r="AQ88" s="25" t="s">
        <v>94</v>
      </c>
      <c r="AV88" s="23">
        <f t="shared" ref="AV88:AV94" si="104">AW88+AX88</f>
        <v>0</v>
      </c>
      <c r="AW88" s="23">
        <f t="shared" ref="AW88:AW94" si="105">F88*AO88</f>
        <v>0</v>
      </c>
      <c r="AX88" s="23">
        <f t="shared" ref="AX88:AX94" si="106">F88*AP88</f>
        <v>0</v>
      </c>
      <c r="AY88" s="25" t="s">
        <v>284</v>
      </c>
      <c r="AZ88" s="25" t="s">
        <v>285</v>
      </c>
      <c r="BA88" s="8" t="s">
        <v>62</v>
      </c>
      <c r="BC88" s="23">
        <f t="shared" ref="BC88:BC94" si="107">AW88+AX88</f>
        <v>0</v>
      </c>
      <c r="BD88" s="23">
        <f t="shared" ref="BD88:BD94" si="108">G88/(100-BE88)*100</f>
        <v>0</v>
      </c>
      <c r="BE88" s="23">
        <v>0</v>
      </c>
      <c r="BF88" s="23">
        <f>88</f>
        <v>88</v>
      </c>
      <c r="BH88" s="23">
        <f t="shared" ref="BH88:BH94" si="109">F88*AO88</f>
        <v>0</v>
      </c>
      <c r="BI88" s="23">
        <f t="shared" ref="BI88:BI94" si="110">F88*AP88</f>
        <v>0</v>
      </c>
      <c r="BJ88" s="23">
        <f t="shared" ref="BJ88:BJ94" si="111">F88*G88</f>
        <v>0</v>
      </c>
      <c r="BK88" s="23"/>
      <c r="BL88" s="23">
        <v>731</v>
      </c>
      <c r="BW88" s="23">
        <v>21</v>
      </c>
    </row>
    <row r="89" spans="1:75" ht="13.5" customHeight="1" x14ac:dyDescent="0.25">
      <c r="A89" s="2" t="s">
        <v>286</v>
      </c>
      <c r="B89" s="3" t="s">
        <v>287</v>
      </c>
      <c r="C89" s="80" t="s">
        <v>288</v>
      </c>
      <c r="D89" s="75"/>
      <c r="E89" s="3" t="s">
        <v>68</v>
      </c>
      <c r="F89" s="23">
        <v>3</v>
      </c>
      <c r="G89" s="23">
        <v>0</v>
      </c>
      <c r="H89" s="23">
        <f t="shared" si="90"/>
        <v>0</v>
      </c>
      <c r="I89" s="23">
        <f t="shared" si="91"/>
        <v>0</v>
      </c>
      <c r="J89" s="23">
        <f t="shared" si="92"/>
        <v>0</v>
      </c>
      <c r="K89" s="23">
        <v>4.0000000000000002E-4</v>
      </c>
      <c r="L89" s="24">
        <v>0.35039999999999999</v>
      </c>
      <c r="Z89" s="23">
        <f t="shared" si="93"/>
        <v>0</v>
      </c>
      <c r="AB89" s="23">
        <f t="shared" si="94"/>
        <v>0</v>
      </c>
      <c r="AC89" s="23">
        <f t="shared" si="95"/>
        <v>0</v>
      </c>
      <c r="AD89" s="23">
        <f t="shared" si="96"/>
        <v>0</v>
      </c>
      <c r="AE89" s="23">
        <f t="shared" si="97"/>
        <v>0</v>
      </c>
      <c r="AF89" s="23">
        <f t="shared" si="98"/>
        <v>0</v>
      </c>
      <c r="AG89" s="23">
        <f t="shared" si="99"/>
        <v>0</v>
      </c>
      <c r="AH89" s="23">
        <f t="shared" si="100"/>
        <v>0</v>
      </c>
      <c r="AI89" s="8" t="s">
        <v>53</v>
      </c>
      <c r="AJ89" s="23">
        <f t="shared" si="101"/>
        <v>0</v>
      </c>
      <c r="AK89" s="23">
        <f t="shared" si="102"/>
        <v>0</v>
      </c>
      <c r="AL89" s="23">
        <f t="shared" si="103"/>
        <v>0</v>
      </c>
      <c r="AN89" s="23">
        <v>21</v>
      </c>
      <c r="AO89" s="23">
        <f>G89*0.007220884</f>
        <v>0</v>
      </c>
      <c r="AP89" s="23">
        <f>G89*(1-0.007220884)</f>
        <v>0</v>
      </c>
      <c r="AQ89" s="25" t="s">
        <v>94</v>
      </c>
      <c r="AV89" s="23">
        <f t="shared" si="104"/>
        <v>0</v>
      </c>
      <c r="AW89" s="23">
        <f t="shared" si="105"/>
        <v>0</v>
      </c>
      <c r="AX89" s="23">
        <f t="shared" si="106"/>
        <v>0</v>
      </c>
      <c r="AY89" s="25" t="s">
        <v>284</v>
      </c>
      <c r="AZ89" s="25" t="s">
        <v>285</v>
      </c>
      <c r="BA89" s="8" t="s">
        <v>62</v>
      </c>
      <c r="BC89" s="23">
        <f t="shared" si="107"/>
        <v>0</v>
      </c>
      <c r="BD89" s="23">
        <f t="shared" si="108"/>
        <v>0</v>
      </c>
      <c r="BE89" s="23">
        <v>0</v>
      </c>
      <c r="BF89" s="23">
        <f>89</f>
        <v>89</v>
      </c>
      <c r="BH89" s="23">
        <f t="shared" si="109"/>
        <v>0</v>
      </c>
      <c r="BI89" s="23">
        <f t="shared" si="110"/>
        <v>0</v>
      </c>
      <c r="BJ89" s="23">
        <f t="shared" si="111"/>
        <v>0</v>
      </c>
      <c r="BK89" s="23"/>
      <c r="BL89" s="23">
        <v>731</v>
      </c>
      <c r="BW89" s="23">
        <v>21</v>
      </c>
    </row>
    <row r="90" spans="1:75" ht="13.5" customHeight="1" x14ac:dyDescent="0.25">
      <c r="A90" s="2" t="s">
        <v>289</v>
      </c>
      <c r="B90" s="3" t="s">
        <v>290</v>
      </c>
      <c r="C90" s="80" t="s">
        <v>291</v>
      </c>
      <c r="D90" s="75"/>
      <c r="E90" s="3" t="s">
        <v>68</v>
      </c>
      <c r="F90" s="23">
        <v>3</v>
      </c>
      <c r="G90" s="23">
        <v>0</v>
      </c>
      <c r="H90" s="23">
        <f t="shared" si="90"/>
        <v>0</v>
      </c>
      <c r="I90" s="23">
        <f t="shared" si="91"/>
        <v>0</v>
      </c>
      <c r="J90" s="23">
        <f t="shared" si="92"/>
        <v>0</v>
      </c>
      <c r="K90" s="23">
        <v>0</v>
      </c>
      <c r="L90" s="24">
        <v>0</v>
      </c>
      <c r="Z90" s="23">
        <f t="shared" si="93"/>
        <v>0</v>
      </c>
      <c r="AB90" s="23">
        <f t="shared" si="94"/>
        <v>0</v>
      </c>
      <c r="AC90" s="23">
        <f t="shared" si="95"/>
        <v>0</v>
      </c>
      <c r="AD90" s="23">
        <f t="shared" si="96"/>
        <v>0</v>
      </c>
      <c r="AE90" s="23">
        <f t="shared" si="97"/>
        <v>0</v>
      </c>
      <c r="AF90" s="23">
        <f t="shared" si="98"/>
        <v>0</v>
      </c>
      <c r="AG90" s="23">
        <f t="shared" si="99"/>
        <v>0</v>
      </c>
      <c r="AH90" s="23">
        <f t="shared" si="100"/>
        <v>0</v>
      </c>
      <c r="AI90" s="8" t="s">
        <v>53</v>
      </c>
      <c r="AJ90" s="23">
        <f t="shared" si="101"/>
        <v>0</v>
      </c>
      <c r="AK90" s="23">
        <f t="shared" si="102"/>
        <v>0</v>
      </c>
      <c r="AL90" s="23">
        <f t="shared" si="103"/>
        <v>0</v>
      </c>
      <c r="AN90" s="23">
        <v>21</v>
      </c>
      <c r="AO90" s="23">
        <f>G90*0</f>
        <v>0</v>
      </c>
      <c r="AP90" s="23">
        <f>G90*(1-0)</f>
        <v>0</v>
      </c>
      <c r="AQ90" s="25" t="s">
        <v>94</v>
      </c>
      <c r="AV90" s="23">
        <f t="shared" si="104"/>
        <v>0</v>
      </c>
      <c r="AW90" s="23">
        <f t="shared" si="105"/>
        <v>0</v>
      </c>
      <c r="AX90" s="23">
        <f t="shared" si="106"/>
        <v>0</v>
      </c>
      <c r="AY90" s="25" t="s">
        <v>284</v>
      </c>
      <c r="AZ90" s="25" t="s">
        <v>285</v>
      </c>
      <c r="BA90" s="8" t="s">
        <v>62</v>
      </c>
      <c r="BC90" s="23">
        <f t="shared" si="107"/>
        <v>0</v>
      </c>
      <c r="BD90" s="23">
        <f t="shared" si="108"/>
        <v>0</v>
      </c>
      <c r="BE90" s="23">
        <v>0</v>
      </c>
      <c r="BF90" s="23">
        <f>90</f>
        <v>90</v>
      </c>
      <c r="BH90" s="23">
        <f t="shared" si="109"/>
        <v>0</v>
      </c>
      <c r="BI90" s="23">
        <f t="shared" si="110"/>
        <v>0</v>
      </c>
      <c r="BJ90" s="23">
        <f t="shared" si="111"/>
        <v>0</v>
      </c>
      <c r="BK90" s="23"/>
      <c r="BL90" s="23">
        <v>731</v>
      </c>
      <c r="BW90" s="23">
        <v>21</v>
      </c>
    </row>
    <row r="91" spans="1:75" ht="13.5" customHeight="1" x14ac:dyDescent="0.25">
      <c r="A91" s="2" t="s">
        <v>292</v>
      </c>
      <c r="B91" s="3" t="s">
        <v>293</v>
      </c>
      <c r="C91" s="80" t="s">
        <v>294</v>
      </c>
      <c r="D91" s="75"/>
      <c r="E91" s="3" t="s">
        <v>68</v>
      </c>
      <c r="F91" s="23">
        <v>3</v>
      </c>
      <c r="G91" s="23">
        <v>0</v>
      </c>
      <c r="H91" s="23">
        <f t="shared" si="90"/>
        <v>0</v>
      </c>
      <c r="I91" s="23">
        <f t="shared" si="91"/>
        <v>0</v>
      </c>
      <c r="J91" s="23">
        <f t="shared" si="92"/>
        <v>0</v>
      </c>
      <c r="K91" s="23">
        <v>0.112</v>
      </c>
      <c r="L91" s="24">
        <v>0.112</v>
      </c>
      <c r="Z91" s="23">
        <f t="shared" si="93"/>
        <v>0</v>
      </c>
      <c r="AB91" s="23">
        <f t="shared" si="94"/>
        <v>0</v>
      </c>
      <c r="AC91" s="23">
        <f t="shared" si="95"/>
        <v>0</v>
      </c>
      <c r="AD91" s="23">
        <f t="shared" si="96"/>
        <v>0</v>
      </c>
      <c r="AE91" s="23">
        <f t="shared" si="97"/>
        <v>0</v>
      </c>
      <c r="AF91" s="23">
        <f t="shared" si="98"/>
        <v>0</v>
      </c>
      <c r="AG91" s="23">
        <f t="shared" si="99"/>
        <v>0</v>
      </c>
      <c r="AH91" s="23">
        <f t="shared" si="100"/>
        <v>0</v>
      </c>
      <c r="AI91" s="8" t="s">
        <v>53</v>
      </c>
      <c r="AJ91" s="23">
        <f t="shared" si="101"/>
        <v>0</v>
      </c>
      <c r="AK91" s="23">
        <f t="shared" si="102"/>
        <v>0</v>
      </c>
      <c r="AL91" s="23">
        <f t="shared" si="103"/>
        <v>0</v>
      </c>
      <c r="AN91" s="23">
        <v>21</v>
      </c>
      <c r="AO91" s="23">
        <f>G91*1</f>
        <v>0</v>
      </c>
      <c r="AP91" s="23">
        <f>G91*(1-1)</f>
        <v>0</v>
      </c>
      <c r="AQ91" s="25" t="s">
        <v>94</v>
      </c>
      <c r="AV91" s="23">
        <f t="shared" si="104"/>
        <v>0</v>
      </c>
      <c r="AW91" s="23">
        <f t="shared" si="105"/>
        <v>0</v>
      </c>
      <c r="AX91" s="23">
        <f t="shared" si="106"/>
        <v>0</v>
      </c>
      <c r="AY91" s="25" t="s">
        <v>284</v>
      </c>
      <c r="AZ91" s="25" t="s">
        <v>285</v>
      </c>
      <c r="BA91" s="8" t="s">
        <v>62</v>
      </c>
      <c r="BC91" s="23">
        <f t="shared" si="107"/>
        <v>0</v>
      </c>
      <c r="BD91" s="23">
        <f t="shared" si="108"/>
        <v>0</v>
      </c>
      <c r="BE91" s="23">
        <v>0</v>
      </c>
      <c r="BF91" s="23">
        <f>91</f>
        <v>91</v>
      </c>
      <c r="BH91" s="23">
        <f t="shared" si="109"/>
        <v>0</v>
      </c>
      <c r="BI91" s="23">
        <f t="shared" si="110"/>
        <v>0</v>
      </c>
      <c r="BJ91" s="23">
        <f t="shared" si="111"/>
        <v>0</v>
      </c>
      <c r="BK91" s="23"/>
      <c r="BL91" s="23">
        <v>731</v>
      </c>
      <c r="BW91" s="23">
        <v>21</v>
      </c>
    </row>
    <row r="92" spans="1:75" ht="13.5" customHeight="1" x14ac:dyDescent="0.25">
      <c r="A92" s="2" t="s">
        <v>295</v>
      </c>
      <c r="B92" s="3" t="s">
        <v>296</v>
      </c>
      <c r="C92" s="80" t="s">
        <v>297</v>
      </c>
      <c r="D92" s="75"/>
      <c r="E92" s="3" t="s">
        <v>68</v>
      </c>
      <c r="F92" s="23">
        <v>1</v>
      </c>
      <c r="G92" s="23">
        <v>0</v>
      </c>
      <c r="H92" s="23">
        <f t="shared" si="90"/>
        <v>0</v>
      </c>
      <c r="I92" s="23">
        <f t="shared" si="91"/>
        <v>0</v>
      </c>
      <c r="J92" s="23">
        <f t="shared" si="92"/>
        <v>0</v>
      </c>
      <c r="K92" s="23">
        <v>0</v>
      </c>
      <c r="L92" s="24">
        <v>0</v>
      </c>
      <c r="Z92" s="23">
        <f t="shared" si="93"/>
        <v>0</v>
      </c>
      <c r="AB92" s="23">
        <f t="shared" si="94"/>
        <v>0</v>
      </c>
      <c r="AC92" s="23">
        <f t="shared" si="95"/>
        <v>0</v>
      </c>
      <c r="AD92" s="23">
        <f t="shared" si="96"/>
        <v>0</v>
      </c>
      <c r="AE92" s="23">
        <f t="shared" si="97"/>
        <v>0</v>
      </c>
      <c r="AF92" s="23">
        <f t="shared" si="98"/>
        <v>0</v>
      </c>
      <c r="AG92" s="23">
        <f t="shared" si="99"/>
        <v>0</v>
      </c>
      <c r="AH92" s="23">
        <f t="shared" si="100"/>
        <v>0</v>
      </c>
      <c r="AI92" s="8" t="s">
        <v>53</v>
      </c>
      <c r="AJ92" s="23">
        <f t="shared" si="101"/>
        <v>0</v>
      </c>
      <c r="AK92" s="23">
        <f t="shared" si="102"/>
        <v>0</v>
      </c>
      <c r="AL92" s="23">
        <f t="shared" si="103"/>
        <v>0</v>
      </c>
      <c r="AN92" s="23">
        <v>21</v>
      </c>
      <c r="AO92" s="23">
        <f>G92*0.111111111</f>
        <v>0</v>
      </c>
      <c r="AP92" s="23">
        <f>G92*(1-0.111111111)</f>
        <v>0</v>
      </c>
      <c r="AQ92" s="25" t="s">
        <v>94</v>
      </c>
      <c r="AV92" s="23">
        <f t="shared" si="104"/>
        <v>0</v>
      </c>
      <c r="AW92" s="23">
        <f t="shared" si="105"/>
        <v>0</v>
      </c>
      <c r="AX92" s="23">
        <f t="shared" si="106"/>
        <v>0</v>
      </c>
      <c r="AY92" s="25" t="s">
        <v>284</v>
      </c>
      <c r="AZ92" s="25" t="s">
        <v>285</v>
      </c>
      <c r="BA92" s="8" t="s">
        <v>62</v>
      </c>
      <c r="BC92" s="23">
        <f t="shared" si="107"/>
        <v>0</v>
      </c>
      <c r="BD92" s="23">
        <f t="shared" si="108"/>
        <v>0</v>
      </c>
      <c r="BE92" s="23">
        <v>0</v>
      </c>
      <c r="BF92" s="23">
        <f>92</f>
        <v>92</v>
      </c>
      <c r="BH92" s="23">
        <f t="shared" si="109"/>
        <v>0</v>
      </c>
      <c r="BI92" s="23">
        <f t="shared" si="110"/>
        <v>0</v>
      </c>
      <c r="BJ92" s="23">
        <f t="shared" si="111"/>
        <v>0</v>
      </c>
      <c r="BK92" s="23"/>
      <c r="BL92" s="23">
        <v>731</v>
      </c>
      <c r="BW92" s="23">
        <v>21</v>
      </c>
    </row>
    <row r="93" spans="1:75" ht="13.5" customHeight="1" x14ac:dyDescent="0.25">
      <c r="A93" s="2" t="s">
        <v>298</v>
      </c>
      <c r="B93" s="3" t="s">
        <v>299</v>
      </c>
      <c r="C93" s="80" t="s">
        <v>300</v>
      </c>
      <c r="D93" s="75"/>
      <c r="E93" s="3" t="s">
        <v>68</v>
      </c>
      <c r="F93" s="23">
        <v>1</v>
      </c>
      <c r="G93" s="23">
        <v>0</v>
      </c>
      <c r="H93" s="23">
        <f t="shared" si="90"/>
        <v>0</v>
      </c>
      <c r="I93" s="23">
        <f t="shared" si="91"/>
        <v>0</v>
      </c>
      <c r="J93" s="23">
        <f t="shared" si="92"/>
        <v>0</v>
      </c>
      <c r="K93" s="23">
        <v>1.4E-2</v>
      </c>
      <c r="L93" s="24">
        <v>1.4E-2</v>
      </c>
      <c r="Z93" s="23">
        <f t="shared" si="93"/>
        <v>0</v>
      </c>
      <c r="AB93" s="23">
        <f t="shared" si="94"/>
        <v>0</v>
      </c>
      <c r="AC93" s="23">
        <f t="shared" si="95"/>
        <v>0</v>
      </c>
      <c r="AD93" s="23">
        <f t="shared" si="96"/>
        <v>0</v>
      </c>
      <c r="AE93" s="23">
        <f t="shared" si="97"/>
        <v>0</v>
      </c>
      <c r="AF93" s="23">
        <f t="shared" si="98"/>
        <v>0</v>
      </c>
      <c r="AG93" s="23">
        <f t="shared" si="99"/>
        <v>0</v>
      </c>
      <c r="AH93" s="23">
        <f t="shared" si="100"/>
        <v>0</v>
      </c>
      <c r="AI93" s="8" t="s">
        <v>53</v>
      </c>
      <c r="AJ93" s="23">
        <f t="shared" si="101"/>
        <v>0</v>
      </c>
      <c r="AK93" s="23">
        <f t="shared" si="102"/>
        <v>0</v>
      </c>
      <c r="AL93" s="23">
        <f t="shared" si="103"/>
        <v>0</v>
      </c>
      <c r="AN93" s="23">
        <v>21</v>
      </c>
      <c r="AO93" s="23">
        <f>G93*1</f>
        <v>0</v>
      </c>
      <c r="AP93" s="23">
        <f>G93*(1-1)</f>
        <v>0</v>
      </c>
      <c r="AQ93" s="25" t="s">
        <v>94</v>
      </c>
      <c r="AV93" s="23">
        <f t="shared" si="104"/>
        <v>0</v>
      </c>
      <c r="AW93" s="23">
        <f t="shared" si="105"/>
        <v>0</v>
      </c>
      <c r="AX93" s="23">
        <f t="shared" si="106"/>
        <v>0</v>
      </c>
      <c r="AY93" s="25" t="s">
        <v>284</v>
      </c>
      <c r="AZ93" s="25" t="s">
        <v>285</v>
      </c>
      <c r="BA93" s="8" t="s">
        <v>62</v>
      </c>
      <c r="BC93" s="23">
        <f t="shared" si="107"/>
        <v>0</v>
      </c>
      <c r="BD93" s="23">
        <f t="shared" si="108"/>
        <v>0</v>
      </c>
      <c r="BE93" s="23">
        <v>0</v>
      </c>
      <c r="BF93" s="23">
        <f>93</f>
        <v>93</v>
      </c>
      <c r="BH93" s="23">
        <f t="shared" si="109"/>
        <v>0</v>
      </c>
      <c r="BI93" s="23">
        <f t="shared" si="110"/>
        <v>0</v>
      </c>
      <c r="BJ93" s="23">
        <f t="shared" si="111"/>
        <v>0</v>
      </c>
      <c r="BK93" s="23"/>
      <c r="BL93" s="23">
        <v>731</v>
      </c>
      <c r="BW93" s="23">
        <v>21</v>
      </c>
    </row>
    <row r="94" spans="1:75" ht="13.5" customHeight="1" x14ac:dyDescent="0.25">
      <c r="A94" s="2" t="s">
        <v>301</v>
      </c>
      <c r="B94" s="3" t="s">
        <v>302</v>
      </c>
      <c r="C94" s="80" t="s">
        <v>303</v>
      </c>
      <c r="D94" s="75"/>
      <c r="E94" s="3" t="s">
        <v>68</v>
      </c>
      <c r="F94" s="23">
        <v>1</v>
      </c>
      <c r="G94" s="23">
        <v>0</v>
      </c>
      <c r="H94" s="23">
        <f t="shared" si="90"/>
        <v>0</v>
      </c>
      <c r="I94" s="23">
        <f t="shared" si="91"/>
        <v>0</v>
      </c>
      <c r="J94" s="23">
        <f t="shared" si="92"/>
        <v>0</v>
      </c>
      <c r="K94" s="23">
        <v>0.01</v>
      </c>
      <c r="L94" s="24">
        <v>0.01</v>
      </c>
      <c r="Z94" s="23">
        <f t="shared" si="93"/>
        <v>0</v>
      </c>
      <c r="AB94" s="23">
        <f t="shared" si="94"/>
        <v>0</v>
      </c>
      <c r="AC94" s="23">
        <f t="shared" si="95"/>
        <v>0</v>
      </c>
      <c r="AD94" s="23">
        <f t="shared" si="96"/>
        <v>0</v>
      </c>
      <c r="AE94" s="23">
        <f t="shared" si="97"/>
        <v>0</v>
      </c>
      <c r="AF94" s="23">
        <f t="shared" si="98"/>
        <v>0</v>
      </c>
      <c r="AG94" s="23">
        <f t="shared" si="99"/>
        <v>0</v>
      </c>
      <c r="AH94" s="23">
        <f t="shared" si="100"/>
        <v>0</v>
      </c>
      <c r="AI94" s="8" t="s">
        <v>53</v>
      </c>
      <c r="AJ94" s="23">
        <f t="shared" si="101"/>
        <v>0</v>
      </c>
      <c r="AK94" s="23">
        <f t="shared" si="102"/>
        <v>0</v>
      </c>
      <c r="AL94" s="23">
        <f t="shared" si="103"/>
        <v>0</v>
      </c>
      <c r="AN94" s="23">
        <v>21</v>
      </c>
      <c r="AO94" s="23">
        <f>G94*1</f>
        <v>0</v>
      </c>
      <c r="AP94" s="23">
        <f>G94*(1-1)</f>
        <v>0</v>
      </c>
      <c r="AQ94" s="25" t="s">
        <v>94</v>
      </c>
      <c r="AV94" s="23">
        <f t="shared" si="104"/>
        <v>0</v>
      </c>
      <c r="AW94" s="23">
        <f t="shared" si="105"/>
        <v>0</v>
      </c>
      <c r="AX94" s="23">
        <f t="shared" si="106"/>
        <v>0</v>
      </c>
      <c r="AY94" s="25" t="s">
        <v>284</v>
      </c>
      <c r="AZ94" s="25" t="s">
        <v>285</v>
      </c>
      <c r="BA94" s="8" t="s">
        <v>62</v>
      </c>
      <c r="BC94" s="23">
        <f t="shared" si="107"/>
        <v>0</v>
      </c>
      <c r="BD94" s="23">
        <f t="shared" si="108"/>
        <v>0</v>
      </c>
      <c r="BE94" s="23">
        <v>0</v>
      </c>
      <c r="BF94" s="23">
        <f>94</f>
        <v>94</v>
      </c>
      <c r="BH94" s="23">
        <f t="shared" si="109"/>
        <v>0</v>
      </c>
      <c r="BI94" s="23">
        <f t="shared" si="110"/>
        <v>0</v>
      </c>
      <c r="BJ94" s="23">
        <f t="shared" si="111"/>
        <v>0</v>
      </c>
      <c r="BK94" s="23"/>
      <c r="BL94" s="23">
        <v>731</v>
      </c>
      <c r="BW94" s="23">
        <v>21</v>
      </c>
    </row>
    <row r="95" spans="1:75" x14ac:dyDescent="0.25">
      <c r="A95" s="26" t="s">
        <v>53</v>
      </c>
      <c r="B95" s="27" t="s">
        <v>304</v>
      </c>
      <c r="C95" s="98" t="s">
        <v>305</v>
      </c>
      <c r="D95" s="99"/>
      <c r="E95" s="28" t="s">
        <v>10</v>
      </c>
      <c r="F95" s="28" t="s">
        <v>10</v>
      </c>
      <c r="G95" s="28" t="s">
        <v>10</v>
      </c>
      <c r="H95" s="1">
        <f>SUM(H96:H114)</f>
        <v>0</v>
      </c>
      <c r="I95" s="1">
        <f>SUM(I96:I114)</f>
        <v>0</v>
      </c>
      <c r="J95" s="1">
        <f>SUM(J96:J114)</f>
        <v>0</v>
      </c>
      <c r="K95" s="8" t="s">
        <v>53</v>
      </c>
      <c r="L95" s="29" t="s">
        <v>53</v>
      </c>
      <c r="AI95" s="8" t="s">
        <v>53</v>
      </c>
      <c r="AS95" s="1">
        <f>SUM(AJ96:AJ114)</f>
        <v>0</v>
      </c>
      <c r="AT95" s="1">
        <f>SUM(AK96:AK114)</f>
        <v>0</v>
      </c>
      <c r="AU95" s="1">
        <f>SUM(AL96:AL114)</f>
        <v>0</v>
      </c>
    </row>
    <row r="96" spans="1:75" ht="13.5" customHeight="1" x14ac:dyDescent="0.25">
      <c r="A96" s="2" t="s">
        <v>306</v>
      </c>
      <c r="B96" s="3" t="s">
        <v>307</v>
      </c>
      <c r="C96" s="80" t="s">
        <v>308</v>
      </c>
      <c r="D96" s="75"/>
      <c r="E96" s="3" t="s">
        <v>68</v>
      </c>
      <c r="F96" s="23">
        <v>10</v>
      </c>
      <c r="G96" s="23">
        <v>0</v>
      </c>
      <c r="H96" s="23">
        <f>F96*AO96</f>
        <v>0</v>
      </c>
      <c r="I96" s="23">
        <f>F96*AP96</f>
        <v>0</v>
      </c>
      <c r="J96" s="23">
        <f>F96*G96</f>
        <v>0</v>
      </c>
      <c r="K96" s="23">
        <v>6.9999999999999994E-5</v>
      </c>
      <c r="L96" s="24">
        <v>2.1069999999999998E-2</v>
      </c>
      <c r="Z96" s="23">
        <f>IF(AQ96="5",BJ96,0)</f>
        <v>0</v>
      </c>
      <c r="AB96" s="23">
        <f>IF(AQ96="1",BH96,0)</f>
        <v>0</v>
      </c>
      <c r="AC96" s="23">
        <f>IF(AQ96="1",BI96,0)</f>
        <v>0</v>
      </c>
      <c r="AD96" s="23">
        <f>IF(AQ96="7",BH96,0)</f>
        <v>0</v>
      </c>
      <c r="AE96" s="23">
        <f>IF(AQ96="7",BI96,0)</f>
        <v>0</v>
      </c>
      <c r="AF96" s="23">
        <f>IF(AQ96="2",BH96,0)</f>
        <v>0</v>
      </c>
      <c r="AG96" s="23">
        <f>IF(AQ96="2",BI96,0)</f>
        <v>0</v>
      </c>
      <c r="AH96" s="23">
        <f>IF(AQ96="0",BJ96,0)</f>
        <v>0</v>
      </c>
      <c r="AI96" s="8" t="s">
        <v>53</v>
      </c>
      <c r="AJ96" s="23">
        <f>IF(AN96=0,J96,0)</f>
        <v>0</v>
      </c>
      <c r="AK96" s="23">
        <f>IF(AN96=12,J96,0)</f>
        <v>0</v>
      </c>
      <c r="AL96" s="23">
        <f>IF(AN96=21,J96,0)</f>
        <v>0</v>
      </c>
      <c r="AN96" s="23">
        <v>21</v>
      </c>
      <c r="AO96" s="23">
        <f>G96*0.068092243</f>
        <v>0</v>
      </c>
      <c r="AP96" s="23">
        <f>G96*(1-0.068092243)</f>
        <v>0</v>
      </c>
      <c r="AQ96" s="25" t="s">
        <v>94</v>
      </c>
      <c r="AV96" s="23">
        <f>AW96+AX96</f>
        <v>0</v>
      </c>
      <c r="AW96" s="23">
        <f>F96*AO96</f>
        <v>0</v>
      </c>
      <c r="AX96" s="23">
        <f>F96*AP96</f>
        <v>0</v>
      </c>
      <c r="AY96" s="25" t="s">
        <v>309</v>
      </c>
      <c r="AZ96" s="25" t="s">
        <v>285</v>
      </c>
      <c r="BA96" s="8" t="s">
        <v>62</v>
      </c>
      <c r="BC96" s="23">
        <f>AW96+AX96</f>
        <v>0</v>
      </c>
      <c r="BD96" s="23">
        <f>G96/(100-BE96)*100</f>
        <v>0</v>
      </c>
      <c r="BE96" s="23">
        <v>0</v>
      </c>
      <c r="BF96" s="23">
        <f>96</f>
        <v>96</v>
      </c>
      <c r="BH96" s="23">
        <f>F96*AO96</f>
        <v>0</v>
      </c>
      <c r="BI96" s="23">
        <f>F96*AP96</f>
        <v>0</v>
      </c>
      <c r="BJ96" s="23">
        <f>F96*G96</f>
        <v>0</v>
      </c>
      <c r="BK96" s="23"/>
      <c r="BL96" s="23">
        <v>732</v>
      </c>
      <c r="BW96" s="23">
        <v>21</v>
      </c>
    </row>
    <row r="97" spans="1:75" ht="13.5" customHeight="1" x14ac:dyDescent="0.25">
      <c r="A97" s="2" t="s">
        <v>310</v>
      </c>
      <c r="B97" s="3" t="s">
        <v>311</v>
      </c>
      <c r="C97" s="80" t="s">
        <v>312</v>
      </c>
      <c r="D97" s="75"/>
      <c r="E97" s="3" t="s">
        <v>68</v>
      </c>
      <c r="F97" s="23">
        <v>1</v>
      </c>
      <c r="G97" s="23">
        <v>0</v>
      </c>
      <c r="H97" s="23">
        <f>F97*AO97</f>
        <v>0</v>
      </c>
      <c r="I97" s="23">
        <f>F97*AP97</f>
        <v>0</v>
      </c>
      <c r="J97" s="23">
        <f>F97*G97</f>
        <v>0</v>
      </c>
      <c r="K97" s="23">
        <v>1.4630000000000001E-2</v>
      </c>
      <c r="L97" s="24">
        <v>1.4630000000000001E-2</v>
      </c>
      <c r="Z97" s="23">
        <f>IF(AQ97="5",BJ97,0)</f>
        <v>0</v>
      </c>
      <c r="AB97" s="23">
        <f>IF(AQ97="1",BH97,0)</f>
        <v>0</v>
      </c>
      <c r="AC97" s="23">
        <f>IF(AQ97="1",BI97,0)</f>
        <v>0</v>
      </c>
      <c r="AD97" s="23">
        <f>IF(AQ97="7",BH97,0)</f>
        <v>0</v>
      </c>
      <c r="AE97" s="23">
        <f>IF(AQ97="7",BI97,0)</f>
        <v>0</v>
      </c>
      <c r="AF97" s="23">
        <f>IF(AQ97="2",BH97,0)</f>
        <v>0</v>
      </c>
      <c r="AG97" s="23">
        <f>IF(AQ97="2",BI97,0)</f>
        <v>0</v>
      </c>
      <c r="AH97" s="23">
        <f>IF(AQ97="0",BJ97,0)</f>
        <v>0</v>
      </c>
      <c r="AI97" s="8" t="s">
        <v>53</v>
      </c>
      <c r="AJ97" s="23">
        <f>IF(AN97=0,J97,0)</f>
        <v>0</v>
      </c>
      <c r="AK97" s="23">
        <f>IF(AN97=12,J97,0)</f>
        <v>0</v>
      </c>
      <c r="AL97" s="23">
        <f>IF(AN97=21,J97,0)</f>
        <v>0</v>
      </c>
      <c r="AN97" s="23">
        <v>21</v>
      </c>
      <c r="AO97" s="23">
        <f>G97*0.535202294</f>
        <v>0</v>
      </c>
      <c r="AP97" s="23">
        <f>G97*(1-0.535202294)</f>
        <v>0</v>
      </c>
      <c r="AQ97" s="25" t="s">
        <v>94</v>
      </c>
      <c r="AV97" s="23">
        <f>AW97+AX97</f>
        <v>0</v>
      </c>
      <c r="AW97" s="23">
        <f>F97*AO97</f>
        <v>0</v>
      </c>
      <c r="AX97" s="23">
        <f>F97*AP97</f>
        <v>0</v>
      </c>
      <c r="AY97" s="25" t="s">
        <v>309</v>
      </c>
      <c r="AZ97" s="25" t="s">
        <v>285</v>
      </c>
      <c r="BA97" s="8" t="s">
        <v>62</v>
      </c>
      <c r="BC97" s="23">
        <f>AW97+AX97</f>
        <v>0</v>
      </c>
      <c r="BD97" s="23">
        <f>G97/(100-BE97)*100</f>
        <v>0</v>
      </c>
      <c r="BE97" s="23">
        <v>0</v>
      </c>
      <c r="BF97" s="23">
        <f>97</f>
        <v>97</v>
      </c>
      <c r="BH97" s="23">
        <f>F97*AO97</f>
        <v>0</v>
      </c>
      <c r="BI97" s="23">
        <f>F97*AP97</f>
        <v>0</v>
      </c>
      <c r="BJ97" s="23">
        <f>F97*G97</f>
        <v>0</v>
      </c>
      <c r="BK97" s="23"/>
      <c r="BL97" s="23">
        <v>732</v>
      </c>
      <c r="BW97" s="23">
        <v>21</v>
      </c>
    </row>
    <row r="98" spans="1:75" ht="13.5" customHeight="1" x14ac:dyDescent="0.25">
      <c r="A98" s="2" t="s">
        <v>313</v>
      </c>
      <c r="B98" s="3" t="s">
        <v>314</v>
      </c>
      <c r="C98" s="80" t="s">
        <v>315</v>
      </c>
      <c r="D98" s="75"/>
      <c r="E98" s="3" t="s">
        <v>68</v>
      </c>
      <c r="F98" s="23">
        <v>1</v>
      </c>
      <c r="G98" s="23">
        <v>0</v>
      </c>
      <c r="H98" s="23">
        <f>F98*AO98</f>
        <v>0</v>
      </c>
      <c r="I98" s="23">
        <f>F98*AP98</f>
        <v>0</v>
      </c>
      <c r="J98" s="23">
        <f>F98*G98</f>
        <v>0</v>
      </c>
      <c r="K98" s="23">
        <v>1.9E-2</v>
      </c>
      <c r="L98" s="24">
        <v>1.9E-2</v>
      </c>
      <c r="Z98" s="23">
        <f>IF(AQ98="5",BJ98,0)</f>
        <v>0</v>
      </c>
      <c r="AB98" s="23">
        <f>IF(AQ98="1",BH98,0)</f>
        <v>0</v>
      </c>
      <c r="AC98" s="23">
        <f>IF(AQ98="1",BI98,0)</f>
        <v>0</v>
      </c>
      <c r="AD98" s="23">
        <f>IF(AQ98="7",BH98,0)</f>
        <v>0</v>
      </c>
      <c r="AE98" s="23">
        <f>IF(AQ98="7",BI98,0)</f>
        <v>0</v>
      </c>
      <c r="AF98" s="23">
        <f>IF(AQ98="2",BH98,0)</f>
        <v>0</v>
      </c>
      <c r="AG98" s="23">
        <f>IF(AQ98="2",BI98,0)</f>
        <v>0</v>
      </c>
      <c r="AH98" s="23">
        <f>IF(AQ98="0",BJ98,0)</f>
        <v>0</v>
      </c>
      <c r="AI98" s="8" t="s">
        <v>53</v>
      </c>
      <c r="AJ98" s="23">
        <f>IF(AN98=0,J98,0)</f>
        <v>0</v>
      </c>
      <c r="AK98" s="23">
        <f>IF(AN98=12,J98,0)</f>
        <v>0</v>
      </c>
      <c r="AL98" s="23">
        <f>IF(AN98=21,J98,0)</f>
        <v>0</v>
      </c>
      <c r="AN98" s="23">
        <v>21</v>
      </c>
      <c r="AO98" s="23">
        <f>G98*0.946535293</f>
        <v>0</v>
      </c>
      <c r="AP98" s="23">
        <f>G98*(1-0.946535293)</f>
        <v>0</v>
      </c>
      <c r="AQ98" s="25" t="s">
        <v>94</v>
      </c>
      <c r="AV98" s="23">
        <f>AW98+AX98</f>
        <v>0</v>
      </c>
      <c r="AW98" s="23">
        <f>F98*AO98</f>
        <v>0</v>
      </c>
      <c r="AX98" s="23">
        <f>F98*AP98</f>
        <v>0</v>
      </c>
      <c r="AY98" s="25" t="s">
        <v>309</v>
      </c>
      <c r="AZ98" s="25" t="s">
        <v>285</v>
      </c>
      <c r="BA98" s="8" t="s">
        <v>62</v>
      </c>
      <c r="BC98" s="23">
        <f>AW98+AX98</f>
        <v>0</v>
      </c>
      <c r="BD98" s="23">
        <f>G98/(100-BE98)*100</f>
        <v>0</v>
      </c>
      <c r="BE98" s="23">
        <v>0</v>
      </c>
      <c r="BF98" s="23">
        <f>98</f>
        <v>98</v>
      </c>
      <c r="BH98" s="23">
        <f>F98*AO98</f>
        <v>0</v>
      </c>
      <c r="BI98" s="23">
        <f>F98*AP98</f>
        <v>0</v>
      </c>
      <c r="BJ98" s="23">
        <f>F98*G98</f>
        <v>0</v>
      </c>
      <c r="BK98" s="23"/>
      <c r="BL98" s="23">
        <v>732</v>
      </c>
      <c r="BW98" s="23">
        <v>21</v>
      </c>
    </row>
    <row r="99" spans="1:75" x14ac:dyDescent="0.25">
      <c r="A99" s="30"/>
      <c r="C99" s="31" t="s">
        <v>56</v>
      </c>
      <c r="D99" s="31" t="s">
        <v>316</v>
      </c>
      <c r="F99" s="32">
        <v>1</v>
      </c>
      <c r="L99" s="33"/>
    </row>
    <row r="100" spans="1:75" ht="13.5" customHeight="1" x14ac:dyDescent="0.25">
      <c r="A100" s="2" t="s">
        <v>317</v>
      </c>
      <c r="B100" s="3" t="s">
        <v>318</v>
      </c>
      <c r="C100" s="80" t="s">
        <v>319</v>
      </c>
      <c r="D100" s="75"/>
      <c r="E100" s="3" t="s">
        <v>68</v>
      </c>
      <c r="F100" s="23">
        <v>9</v>
      </c>
      <c r="G100" s="23">
        <v>0</v>
      </c>
      <c r="H100" s="23">
        <f t="shared" ref="H100:H105" si="112">F100*AO100</f>
        <v>0</v>
      </c>
      <c r="I100" s="23">
        <f t="shared" ref="I100:I105" si="113">F100*AP100</f>
        <v>0</v>
      </c>
      <c r="J100" s="23">
        <f t="shared" ref="J100:J105" si="114">F100*G100</f>
        <v>0</v>
      </c>
      <c r="K100" s="23">
        <v>5.9000000000000003E-4</v>
      </c>
      <c r="L100" s="24">
        <v>5.9000000000000003E-4</v>
      </c>
      <c r="Z100" s="23">
        <f t="shared" ref="Z100:Z105" si="115">IF(AQ100="5",BJ100,0)</f>
        <v>0</v>
      </c>
      <c r="AB100" s="23">
        <f t="shared" ref="AB100:AB105" si="116">IF(AQ100="1",BH100,0)</f>
        <v>0</v>
      </c>
      <c r="AC100" s="23">
        <f t="shared" ref="AC100:AC105" si="117">IF(AQ100="1",BI100,0)</f>
        <v>0</v>
      </c>
      <c r="AD100" s="23">
        <f t="shared" ref="AD100:AD105" si="118">IF(AQ100="7",BH100,0)</f>
        <v>0</v>
      </c>
      <c r="AE100" s="23">
        <f t="shared" ref="AE100:AE105" si="119">IF(AQ100="7",BI100,0)</f>
        <v>0</v>
      </c>
      <c r="AF100" s="23">
        <f t="shared" ref="AF100:AF105" si="120">IF(AQ100="2",BH100,0)</f>
        <v>0</v>
      </c>
      <c r="AG100" s="23">
        <f t="shared" ref="AG100:AG105" si="121">IF(AQ100="2",BI100,0)</f>
        <v>0</v>
      </c>
      <c r="AH100" s="23">
        <f t="shared" ref="AH100:AH105" si="122">IF(AQ100="0",BJ100,0)</f>
        <v>0</v>
      </c>
      <c r="AI100" s="8" t="s">
        <v>53</v>
      </c>
      <c r="AJ100" s="23">
        <f t="shared" ref="AJ100:AJ105" si="123">IF(AN100=0,J100,0)</f>
        <v>0</v>
      </c>
      <c r="AK100" s="23">
        <f t="shared" ref="AK100:AK105" si="124">IF(AN100=12,J100,0)</f>
        <v>0</v>
      </c>
      <c r="AL100" s="23">
        <f t="shared" ref="AL100:AL105" si="125">IF(AN100=21,J100,0)</f>
        <v>0</v>
      </c>
      <c r="AN100" s="23">
        <v>21</v>
      </c>
      <c r="AO100" s="23">
        <f>G100*0.257867104</f>
        <v>0</v>
      </c>
      <c r="AP100" s="23">
        <f>G100*(1-0.257867104)</f>
        <v>0</v>
      </c>
      <c r="AQ100" s="25" t="s">
        <v>94</v>
      </c>
      <c r="AV100" s="23">
        <f t="shared" ref="AV100:AV105" si="126">AW100+AX100</f>
        <v>0</v>
      </c>
      <c r="AW100" s="23">
        <f t="shared" ref="AW100:AW105" si="127">F100*AO100</f>
        <v>0</v>
      </c>
      <c r="AX100" s="23">
        <f t="shared" ref="AX100:AX105" si="128">F100*AP100</f>
        <v>0</v>
      </c>
      <c r="AY100" s="25" t="s">
        <v>309</v>
      </c>
      <c r="AZ100" s="25" t="s">
        <v>285</v>
      </c>
      <c r="BA100" s="8" t="s">
        <v>62</v>
      </c>
      <c r="BC100" s="23">
        <f t="shared" ref="BC100:BC105" si="129">AW100+AX100</f>
        <v>0</v>
      </c>
      <c r="BD100" s="23">
        <f t="shared" ref="BD100:BD105" si="130">G100/(100-BE100)*100</f>
        <v>0</v>
      </c>
      <c r="BE100" s="23">
        <v>0</v>
      </c>
      <c r="BF100" s="23">
        <f>100</f>
        <v>100</v>
      </c>
      <c r="BH100" s="23">
        <f t="shared" ref="BH100:BH105" si="131">F100*AO100</f>
        <v>0</v>
      </c>
      <c r="BI100" s="23">
        <f t="shared" ref="BI100:BI105" si="132">F100*AP100</f>
        <v>0</v>
      </c>
      <c r="BJ100" s="23">
        <f t="shared" ref="BJ100:BJ105" si="133">F100*G100</f>
        <v>0</v>
      </c>
      <c r="BK100" s="23"/>
      <c r="BL100" s="23">
        <v>732</v>
      </c>
      <c r="BW100" s="23">
        <v>21</v>
      </c>
    </row>
    <row r="101" spans="1:75" ht="13.5" customHeight="1" x14ac:dyDescent="0.25">
      <c r="A101" s="2" t="s">
        <v>320</v>
      </c>
      <c r="B101" s="3" t="s">
        <v>321</v>
      </c>
      <c r="C101" s="80" t="s">
        <v>322</v>
      </c>
      <c r="D101" s="75"/>
      <c r="E101" s="3" t="s">
        <v>68</v>
      </c>
      <c r="F101" s="23">
        <v>1</v>
      </c>
      <c r="G101" s="23">
        <v>0</v>
      </c>
      <c r="H101" s="23">
        <f t="shared" si="112"/>
        <v>0</v>
      </c>
      <c r="I101" s="23">
        <f t="shared" si="113"/>
        <v>0</v>
      </c>
      <c r="J101" s="23">
        <f t="shared" si="114"/>
        <v>0</v>
      </c>
      <c r="K101" s="23">
        <v>5.0000000000000001E-3</v>
      </c>
      <c r="L101" s="24">
        <v>5.0000000000000001E-3</v>
      </c>
      <c r="Z101" s="23">
        <f t="shared" si="115"/>
        <v>0</v>
      </c>
      <c r="AB101" s="23">
        <f t="shared" si="116"/>
        <v>0</v>
      </c>
      <c r="AC101" s="23">
        <f t="shared" si="117"/>
        <v>0</v>
      </c>
      <c r="AD101" s="23">
        <f t="shared" si="118"/>
        <v>0</v>
      </c>
      <c r="AE101" s="23">
        <f t="shared" si="119"/>
        <v>0</v>
      </c>
      <c r="AF101" s="23">
        <f t="shared" si="120"/>
        <v>0</v>
      </c>
      <c r="AG101" s="23">
        <f t="shared" si="121"/>
        <v>0</v>
      </c>
      <c r="AH101" s="23">
        <f t="shared" si="122"/>
        <v>0</v>
      </c>
      <c r="AI101" s="8" t="s">
        <v>53</v>
      </c>
      <c r="AJ101" s="23">
        <f t="shared" si="123"/>
        <v>0</v>
      </c>
      <c r="AK101" s="23">
        <f t="shared" si="124"/>
        <v>0</v>
      </c>
      <c r="AL101" s="23">
        <f t="shared" si="125"/>
        <v>0</v>
      </c>
      <c r="AN101" s="23">
        <v>21</v>
      </c>
      <c r="AO101" s="23">
        <f>G101*1</f>
        <v>0</v>
      </c>
      <c r="AP101" s="23">
        <f>G101*(1-1)</f>
        <v>0</v>
      </c>
      <c r="AQ101" s="25" t="s">
        <v>94</v>
      </c>
      <c r="AV101" s="23">
        <f t="shared" si="126"/>
        <v>0</v>
      </c>
      <c r="AW101" s="23">
        <f t="shared" si="127"/>
        <v>0</v>
      </c>
      <c r="AX101" s="23">
        <f t="shared" si="128"/>
        <v>0</v>
      </c>
      <c r="AY101" s="25" t="s">
        <v>309</v>
      </c>
      <c r="AZ101" s="25" t="s">
        <v>285</v>
      </c>
      <c r="BA101" s="8" t="s">
        <v>62</v>
      </c>
      <c r="BC101" s="23">
        <f t="shared" si="129"/>
        <v>0</v>
      </c>
      <c r="BD101" s="23">
        <f t="shared" si="130"/>
        <v>0</v>
      </c>
      <c r="BE101" s="23">
        <v>0</v>
      </c>
      <c r="BF101" s="23">
        <f>101</f>
        <v>101</v>
      </c>
      <c r="BH101" s="23">
        <f t="shared" si="131"/>
        <v>0</v>
      </c>
      <c r="BI101" s="23">
        <f t="shared" si="132"/>
        <v>0</v>
      </c>
      <c r="BJ101" s="23">
        <f t="shared" si="133"/>
        <v>0</v>
      </c>
      <c r="BK101" s="23"/>
      <c r="BL101" s="23">
        <v>732</v>
      </c>
      <c r="BW101" s="23">
        <v>21</v>
      </c>
    </row>
    <row r="102" spans="1:75" ht="13.5" customHeight="1" x14ac:dyDescent="0.25">
      <c r="A102" s="2" t="s">
        <v>323</v>
      </c>
      <c r="B102" s="3" t="s">
        <v>321</v>
      </c>
      <c r="C102" s="80" t="s">
        <v>324</v>
      </c>
      <c r="D102" s="75"/>
      <c r="E102" s="3" t="s">
        <v>68</v>
      </c>
      <c r="F102" s="23">
        <v>1</v>
      </c>
      <c r="G102" s="23">
        <v>0</v>
      </c>
      <c r="H102" s="23">
        <f t="shared" si="112"/>
        <v>0</v>
      </c>
      <c r="I102" s="23">
        <f t="shared" si="113"/>
        <v>0</v>
      </c>
      <c r="J102" s="23">
        <f t="shared" si="114"/>
        <v>0</v>
      </c>
      <c r="K102" s="23">
        <v>5.0000000000000001E-3</v>
      </c>
      <c r="L102" s="24">
        <v>5.0000000000000001E-3</v>
      </c>
      <c r="Z102" s="23">
        <f t="shared" si="115"/>
        <v>0</v>
      </c>
      <c r="AB102" s="23">
        <f t="shared" si="116"/>
        <v>0</v>
      </c>
      <c r="AC102" s="23">
        <f t="shared" si="117"/>
        <v>0</v>
      </c>
      <c r="AD102" s="23">
        <f t="shared" si="118"/>
        <v>0</v>
      </c>
      <c r="AE102" s="23">
        <f t="shared" si="119"/>
        <v>0</v>
      </c>
      <c r="AF102" s="23">
        <f t="shared" si="120"/>
        <v>0</v>
      </c>
      <c r="AG102" s="23">
        <f t="shared" si="121"/>
        <v>0</v>
      </c>
      <c r="AH102" s="23">
        <f t="shared" si="122"/>
        <v>0</v>
      </c>
      <c r="AI102" s="8" t="s">
        <v>53</v>
      </c>
      <c r="AJ102" s="23">
        <f t="shared" si="123"/>
        <v>0</v>
      </c>
      <c r="AK102" s="23">
        <f t="shared" si="124"/>
        <v>0</v>
      </c>
      <c r="AL102" s="23">
        <f t="shared" si="125"/>
        <v>0</v>
      </c>
      <c r="AN102" s="23">
        <v>21</v>
      </c>
      <c r="AO102" s="23">
        <f>G102*1</f>
        <v>0</v>
      </c>
      <c r="AP102" s="23">
        <f>G102*(1-1)</f>
        <v>0</v>
      </c>
      <c r="AQ102" s="25" t="s">
        <v>94</v>
      </c>
      <c r="AV102" s="23">
        <f t="shared" si="126"/>
        <v>0</v>
      </c>
      <c r="AW102" s="23">
        <f t="shared" si="127"/>
        <v>0</v>
      </c>
      <c r="AX102" s="23">
        <f t="shared" si="128"/>
        <v>0</v>
      </c>
      <c r="AY102" s="25" t="s">
        <v>309</v>
      </c>
      <c r="AZ102" s="25" t="s">
        <v>285</v>
      </c>
      <c r="BA102" s="8" t="s">
        <v>62</v>
      </c>
      <c r="BC102" s="23">
        <f t="shared" si="129"/>
        <v>0</v>
      </c>
      <c r="BD102" s="23">
        <f t="shared" si="130"/>
        <v>0</v>
      </c>
      <c r="BE102" s="23">
        <v>0</v>
      </c>
      <c r="BF102" s="23">
        <f>102</f>
        <v>102</v>
      </c>
      <c r="BH102" s="23">
        <f t="shared" si="131"/>
        <v>0</v>
      </c>
      <c r="BI102" s="23">
        <f t="shared" si="132"/>
        <v>0</v>
      </c>
      <c r="BJ102" s="23">
        <f t="shared" si="133"/>
        <v>0</v>
      </c>
      <c r="BK102" s="23"/>
      <c r="BL102" s="23">
        <v>732</v>
      </c>
      <c r="BW102" s="23">
        <v>21</v>
      </c>
    </row>
    <row r="103" spans="1:75" ht="13.5" customHeight="1" x14ac:dyDescent="0.25">
      <c r="A103" s="2" t="s">
        <v>325</v>
      </c>
      <c r="B103" s="3" t="s">
        <v>321</v>
      </c>
      <c r="C103" s="80" t="s">
        <v>326</v>
      </c>
      <c r="D103" s="75"/>
      <c r="E103" s="3" t="s">
        <v>68</v>
      </c>
      <c r="F103" s="23">
        <v>2</v>
      </c>
      <c r="G103" s="23">
        <v>0</v>
      </c>
      <c r="H103" s="23">
        <f t="shared" si="112"/>
        <v>0</v>
      </c>
      <c r="I103" s="23">
        <f t="shared" si="113"/>
        <v>0</v>
      </c>
      <c r="J103" s="23">
        <f t="shared" si="114"/>
        <v>0</v>
      </c>
      <c r="K103" s="23">
        <v>5.0000000000000001E-3</v>
      </c>
      <c r="L103" s="24">
        <v>5.0000000000000001E-3</v>
      </c>
      <c r="Z103" s="23">
        <f t="shared" si="115"/>
        <v>0</v>
      </c>
      <c r="AB103" s="23">
        <f t="shared" si="116"/>
        <v>0</v>
      </c>
      <c r="AC103" s="23">
        <f t="shared" si="117"/>
        <v>0</v>
      </c>
      <c r="AD103" s="23">
        <f t="shared" si="118"/>
        <v>0</v>
      </c>
      <c r="AE103" s="23">
        <f t="shared" si="119"/>
        <v>0</v>
      </c>
      <c r="AF103" s="23">
        <f t="shared" si="120"/>
        <v>0</v>
      </c>
      <c r="AG103" s="23">
        <f t="shared" si="121"/>
        <v>0</v>
      </c>
      <c r="AH103" s="23">
        <f t="shared" si="122"/>
        <v>0</v>
      </c>
      <c r="AI103" s="8" t="s">
        <v>53</v>
      </c>
      <c r="AJ103" s="23">
        <f t="shared" si="123"/>
        <v>0</v>
      </c>
      <c r="AK103" s="23">
        <f t="shared" si="124"/>
        <v>0</v>
      </c>
      <c r="AL103" s="23">
        <f t="shared" si="125"/>
        <v>0</v>
      </c>
      <c r="AN103" s="23">
        <v>21</v>
      </c>
      <c r="AO103" s="23">
        <f>G103*1</f>
        <v>0</v>
      </c>
      <c r="AP103" s="23">
        <f>G103*(1-1)</f>
        <v>0</v>
      </c>
      <c r="AQ103" s="25" t="s">
        <v>94</v>
      </c>
      <c r="AV103" s="23">
        <f t="shared" si="126"/>
        <v>0</v>
      </c>
      <c r="AW103" s="23">
        <f t="shared" si="127"/>
        <v>0</v>
      </c>
      <c r="AX103" s="23">
        <f t="shared" si="128"/>
        <v>0</v>
      </c>
      <c r="AY103" s="25" t="s">
        <v>309</v>
      </c>
      <c r="AZ103" s="25" t="s">
        <v>285</v>
      </c>
      <c r="BA103" s="8" t="s">
        <v>62</v>
      </c>
      <c r="BC103" s="23">
        <f t="shared" si="129"/>
        <v>0</v>
      </c>
      <c r="BD103" s="23">
        <f t="shared" si="130"/>
        <v>0</v>
      </c>
      <c r="BE103" s="23">
        <v>0</v>
      </c>
      <c r="BF103" s="23">
        <f>103</f>
        <v>103</v>
      </c>
      <c r="BH103" s="23">
        <f t="shared" si="131"/>
        <v>0</v>
      </c>
      <c r="BI103" s="23">
        <f t="shared" si="132"/>
        <v>0</v>
      </c>
      <c r="BJ103" s="23">
        <f t="shared" si="133"/>
        <v>0</v>
      </c>
      <c r="BK103" s="23"/>
      <c r="BL103" s="23">
        <v>732</v>
      </c>
      <c r="BW103" s="23">
        <v>21</v>
      </c>
    </row>
    <row r="104" spans="1:75" ht="27" customHeight="1" x14ac:dyDescent="0.25">
      <c r="A104" s="2" t="s">
        <v>327</v>
      </c>
      <c r="B104" s="3" t="s">
        <v>321</v>
      </c>
      <c r="C104" s="80" t="s">
        <v>328</v>
      </c>
      <c r="D104" s="75"/>
      <c r="E104" s="3" t="s">
        <v>68</v>
      </c>
      <c r="F104" s="23">
        <v>2</v>
      </c>
      <c r="G104" s="23">
        <v>0</v>
      </c>
      <c r="H104" s="23">
        <f t="shared" si="112"/>
        <v>0</v>
      </c>
      <c r="I104" s="23">
        <f t="shared" si="113"/>
        <v>0</v>
      </c>
      <c r="J104" s="23">
        <f t="shared" si="114"/>
        <v>0</v>
      </c>
      <c r="K104" s="23">
        <v>5.0000000000000001E-3</v>
      </c>
      <c r="L104" s="24">
        <v>5.0000000000000001E-3</v>
      </c>
      <c r="Z104" s="23">
        <f t="shared" si="115"/>
        <v>0</v>
      </c>
      <c r="AB104" s="23">
        <f t="shared" si="116"/>
        <v>0</v>
      </c>
      <c r="AC104" s="23">
        <f t="shared" si="117"/>
        <v>0</v>
      </c>
      <c r="AD104" s="23">
        <f t="shared" si="118"/>
        <v>0</v>
      </c>
      <c r="AE104" s="23">
        <f t="shared" si="119"/>
        <v>0</v>
      </c>
      <c r="AF104" s="23">
        <f t="shared" si="120"/>
        <v>0</v>
      </c>
      <c r="AG104" s="23">
        <f t="shared" si="121"/>
        <v>0</v>
      </c>
      <c r="AH104" s="23">
        <f t="shared" si="122"/>
        <v>0</v>
      </c>
      <c r="AI104" s="8" t="s">
        <v>53</v>
      </c>
      <c r="AJ104" s="23">
        <f t="shared" si="123"/>
        <v>0</v>
      </c>
      <c r="AK104" s="23">
        <f t="shared" si="124"/>
        <v>0</v>
      </c>
      <c r="AL104" s="23">
        <f t="shared" si="125"/>
        <v>0</v>
      </c>
      <c r="AN104" s="23">
        <v>21</v>
      </c>
      <c r="AO104" s="23">
        <f>G104*1</f>
        <v>0</v>
      </c>
      <c r="AP104" s="23">
        <f>G104*(1-1)</f>
        <v>0</v>
      </c>
      <c r="AQ104" s="25" t="s">
        <v>94</v>
      </c>
      <c r="AV104" s="23">
        <f t="shared" si="126"/>
        <v>0</v>
      </c>
      <c r="AW104" s="23">
        <f t="shared" si="127"/>
        <v>0</v>
      </c>
      <c r="AX104" s="23">
        <f t="shared" si="128"/>
        <v>0</v>
      </c>
      <c r="AY104" s="25" t="s">
        <v>309</v>
      </c>
      <c r="AZ104" s="25" t="s">
        <v>285</v>
      </c>
      <c r="BA104" s="8" t="s">
        <v>62</v>
      </c>
      <c r="BC104" s="23">
        <f t="shared" si="129"/>
        <v>0</v>
      </c>
      <c r="BD104" s="23">
        <f t="shared" si="130"/>
        <v>0</v>
      </c>
      <c r="BE104" s="23">
        <v>0</v>
      </c>
      <c r="BF104" s="23">
        <f>104</f>
        <v>104</v>
      </c>
      <c r="BH104" s="23">
        <f t="shared" si="131"/>
        <v>0</v>
      </c>
      <c r="BI104" s="23">
        <f t="shared" si="132"/>
        <v>0</v>
      </c>
      <c r="BJ104" s="23">
        <f t="shared" si="133"/>
        <v>0</v>
      </c>
      <c r="BK104" s="23"/>
      <c r="BL104" s="23">
        <v>732</v>
      </c>
      <c r="BW104" s="23">
        <v>21</v>
      </c>
    </row>
    <row r="105" spans="1:75" ht="13.5" customHeight="1" x14ac:dyDescent="0.25">
      <c r="A105" s="2" t="s">
        <v>329</v>
      </c>
      <c r="B105" s="3" t="s">
        <v>330</v>
      </c>
      <c r="C105" s="80" t="s">
        <v>331</v>
      </c>
      <c r="D105" s="75"/>
      <c r="E105" s="3" t="s">
        <v>68</v>
      </c>
      <c r="F105" s="23">
        <v>3</v>
      </c>
      <c r="G105" s="23">
        <v>0</v>
      </c>
      <c r="H105" s="23">
        <f t="shared" si="112"/>
        <v>0</v>
      </c>
      <c r="I105" s="23">
        <f t="shared" si="113"/>
        <v>0</v>
      </c>
      <c r="J105" s="23">
        <f t="shared" si="114"/>
        <v>0</v>
      </c>
      <c r="K105" s="23">
        <v>8.9999999999999993E-3</v>
      </c>
      <c r="L105" s="24">
        <v>8.9999999999999993E-3</v>
      </c>
      <c r="Z105" s="23">
        <f t="shared" si="115"/>
        <v>0</v>
      </c>
      <c r="AB105" s="23">
        <f t="shared" si="116"/>
        <v>0</v>
      </c>
      <c r="AC105" s="23">
        <f t="shared" si="117"/>
        <v>0</v>
      </c>
      <c r="AD105" s="23">
        <f t="shared" si="118"/>
        <v>0</v>
      </c>
      <c r="AE105" s="23">
        <f t="shared" si="119"/>
        <v>0</v>
      </c>
      <c r="AF105" s="23">
        <f t="shared" si="120"/>
        <v>0</v>
      </c>
      <c r="AG105" s="23">
        <f t="shared" si="121"/>
        <v>0</v>
      </c>
      <c r="AH105" s="23">
        <f t="shared" si="122"/>
        <v>0</v>
      </c>
      <c r="AI105" s="8" t="s">
        <v>53</v>
      </c>
      <c r="AJ105" s="23">
        <f t="shared" si="123"/>
        <v>0</v>
      </c>
      <c r="AK105" s="23">
        <f t="shared" si="124"/>
        <v>0</v>
      </c>
      <c r="AL105" s="23">
        <f t="shared" si="125"/>
        <v>0</v>
      </c>
      <c r="AN105" s="23">
        <v>21</v>
      </c>
      <c r="AO105" s="23">
        <f>G105*1</f>
        <v>0</v>
      </c>
      <c r="AP105" s="23">
        <f>G105*(1-1)</f>
        <v>0</v>
      </c>
      <c r="AQ105" s="25" t="s">
        <v>94</v>
      </c>
      <c r="AV105" s="23">
        <f t="shared" si="126"/>
        <v>0</v>
      </c>
      <c r="AW105" s="23">
        <f t="shared" si="127"/>
        <v>0</v>
      </c>
      <c r="AX105" s="23">
        <f t="shared" si="128"/>
        <v>0</v>
      </c>
      <c r="AY105" s="25" t="s">
        <v>309</v>
      </c>
      <c r="AZ105" s="25" t="s">
        <v>285</v>
      </c>
      <c r="BA105" s="8" t="s">
        <v>62</v>
      </c>
      <c r="BC105" s="23">
        <f t="shared" si="129"/>
        <v>0</v>
      </c>
      <c r="BD105" s="23">
        <f t="shared" si="130"/>
        <v>0</v>
      </c>
      <c r="BE105" s="23">
        <v>0</v>
      </c>
      <c r="BF105" s="23">
        <f>105</f>
        <v>105</v>
      </c>
      <c r="BH105" s="23">
        <f t="shared" si="131"/>
        <v>0</v>
      </c>
      <c r="BI105" s="23">
        <f t="shared" si="132"/>
        <v>0</v>
      </c>
      <c r="BJ105" s="23">
        <f t="shared" si="133"/>
        <v>0</v>
      </c>
      <c r="BK105" s="23"/>
      <c r="BL105" s="23">
        <v>732</v>
      </c>
      <c r="BW105" s="23">
        <v>21</v>
      </c>
    </row>
    <row r="106" spans="1:75" x14ac:dyDescent="0.25">
      <c r="A106" s="30"/>
      <c r="C106" s="31" t="s">
        <v>71</v>
      </c>
      <c r="D106" s="31" t="s">
        <v>332</v>
      </c>
      <c r="F106" s="32">
        <v>3</v>
      </c>
      <c r="L106" s="33"/>
    </row>
    <row r="107" spans="1:75" ht="13.5" customHeight="1" x14ac:dyDescent="0.25">
      <c r="A107" s="2" t="s">
        <v>333</v>
      </c>
      <c r="B107" s="3" t="s">
        <v>334</v>
      </c>
      <c r="C107" s="80" t="s">
        <v>335</v>
      </c>
      <c r="D107" s="75"/>
      <c r="E107" s="3" t="s">
        <v>68</v>
      </c>
      <c r="F107" s="23">
        <v>1</v>
      </c>
      <c r="G107" s="23">
        <v>0</v>
      </c>
      <c r="H107" s="23">
        <f t="shared" ref="H107:H114" si="134">F107*AO107</f>
        <v>0</v>
      </c>
      <c r="I107" s="23">
        <f t="shared" ref="I107:I114" si="135">F107*AP107</f>
        <v>0</v>
      </c>
      <c r="J107" s="23">
        <f t="shared" ref="J107:J114" si="136">F107*G107</f>
        <v>0</v>
      </c>
      <c r="K107" s="23">
        <v>5.1900000000000002E-3</v>
      </c>
      <c r="L107" s="24">
        <v>5.1900000000000002E-3</v>
      </c>
      <c r="Z107" s="23">
        <f t="shared" ref="Z107:Z114" si="137">IF(AQ107="5",BJ107,0)</f>
        <v>0</v>
      </c>
      <c r="AB107" s="23">
        <f t="shared" ref="AB107:AB114" si="138">IF(AQ107="1",BH107,0)</f>
        <v>0</v>
      </c>
      <c r="AC107" s="23">
        <f t="shared" ref="AC107:AC114" si="139">IF(AQ107="1",BI107,0)</f>
        <v>0</v>
      </c>
      <c r="AD107" s="23">
        <f t="shared" ref="AD107:AD114" si="140">IF(AQ107="7",BH107,0)</f>
        <v>0</v>
      </c>
      <c r="AE107" s="23">
        <f t="shared" ref="AE107:AE114" si="141">IF(AQ107="7",BI107,0)</f>
        <v>0</v>
      </c>
      <c r="AF107" s="23">
        <f t="shared" ref="AF107:AF114" si="142">IF(AQ107="2",BH107,0)</f>
        <v>0</v>
      </c>
      <c r="AG107" s="23">
        <f t="shared" ref="AG107:AG114" si="143">IF(AQ107="2",BI107,0)</f>
        <v>0</v>
      </c>
      <c r="AH107" s="23">
        <f t="shared" ref="AH107:AH114" si="144">IF(AQ107="0",BJ107,0)</f>
        <v>0</v>
      </c>
      <c r="AI107" s="8" t="s">
        <v>53</v>
      </c>
      <c r="AJ107" s="23">
        <f t="shared" ref="AJ107:AJ114" si="145">IF(AN107=0,J107,0)</f>
        <v>0</v>
      </c>
      <c r="AK107" s="23">
        <f t="shared" ref="AK107:AK114" si="146">IF(AN107=12,J107,0)</f>
        <v>0</v>
      </c>
      <c r="AL107" s="23">
        <f t="shared" ref="AL107:AL114" si="147">IF(AN107=21,J107,0)</f>
        <v>0</v>
      </c>
      <c r="AN107" s="23">
        <v>21</v>
      </c>
      <c r="AO107" s="23">
        <f>G107*0.967587972</f>
        <v>0</v>
      </c>
      <c r="AP107" s="23">
        <f>G107*(1-0.967587972)</f>
        <v>0</v>
      </c>
      <c r="AQ107" s="25" t="s">
        <v>94</v>
      </c>
      <c r="AV107" s="23">
        <f t="shared" ref="AV107:AV114" si="148">AW107+AX107</f>
        <v>0</v>
      </c>
      <c r="AW107" s="23">
        <f t="shared" ref="AW107:AW114" si="149">F107*AO107</f>
        <v>0</v>
      </c>
      <c r="AX107" s="23">
        <f t="shared" ref="AX107:AX114" si="150">F107*AP107</f>
        <v>0</v>
      </c>
      <c r="AY107" s="25" t="s">
        <v>309</v>
      </c>
      <c r="AZ107" s="25" t="s">
        <v>285</v>
      </c>
      <c r="BA107" s="8" t="s">
        <v>62</v>
      </c>
      <c r="BC107" s="23">
        <f t="shared" ref="BC107:BC114" si="151">AW107+AX107</f>
        <v>0</v>
      </c>
      <c r="BD107" s="23">
        <f t="shared" ref="BD107:BD114" si="152">G107/(100-BE107)*100</f>
        <v>0</v>
      </c>
      <c r="BE107" s="23">
        <v>0</v>
      </c>
      <c r="BF107" s="23">
        <f>107</f>
        <v>107</v>
      </c>
      <c r="BH107" s="23">
        <f t="shared" ref="BH107:BH114" si="153">F107*AO107</f>
        <v>0</v>
      </c>
      <c r="BI107" s="23">
        <f t="shared" ref="BI107:BI114" si="154">F107*AP107</f>
        <v>0</v>
      </c>
      <c r="BJ107" s="23">
        <f t="shared" ref="BJ107:BJ114" si="155">F107*G107</f>
        <v>0</v>
      </c>
      <c r="BK107" s="23"/>
      <c r="BL107" s="23">
        <v>732</v>
      </c>
      <c r="BW107" s="23">
        <v>21</v>
      </c>
    </row>
    <row r="108" spans="1:75" ht="13.5" customHeight="1" x14ac:dyDescent="0.25">
      <c r="A108" s="2" t="s">
        <v>336</v>
      </c>
      <c r="B108" s="3" t="s">
        <v>337</v>
      </c>
      <c r="C108" s="80" t="s">
        <v>338</v>
      </c>
      <c r="D108" s="75"/>
      <c r="E108" s="3" t="s">
        <v>68</v>
      </c>
      <c r="F108" s="23">
        <v>1</v>
      </c>
      <c r="G108" s="23">
        <v>0</v>
      </c>
      <c r="H108" s="23">
        <f t="shared" si="134"/>
        <v>0</v>
      </c>
      <c r="I108" s="23">
        <f t="shared" si="135"/>
        <v>0</v>
      </c>
      <c r="J108" s="23">
        <f t="shared" si="136"/>
        <v>0</v>
      </c>
      <c r="K108" s="23">
        <v>0</v>
      </c>
      <c r="L108" s="24">
        <v>0</v>
      </c>
      <c r="Z108" s="23">
        <f t="shared" si="137"/>
        <v>0</v>
      </c>
      <c r="AB108" s="23">
        <f t="shared" si="138"/>
        <v>0</v>
      </c>
      <c r="AC108" s="23">
        <f t="shared" si="139"/>
        <v>0</v>
      </c>
      <c r="AD108" s="23">
        <f t="shared" si="140"/>
        <v>0</v>
      </c>
      <c r="AE108" s="23">
        <f t="shared" si="141"/>
        <v>0</v>
      </c>
      <c r="AF108" s="23">
        <f t="shared" si="142"/>
        <v>0</v>
      </c>
      <c r="AG108" s="23">
        <f t="shared" si="143"/>
        <v>0</v>
      </c>
      <c r="AH108" s="23">
        <f t="shared" si="144"/>
        <v>0</v>
      </c>
      <c r="AI108" s="8" t="s">
        <v>53</v>
      </c>
      <c r="AJ108" s="23">
        <f t="shared" si="145"/>
        <v>0</v>
      </c>
      <c r="AK108" s="23">
        <f t="shared" si="146"/>
        <v>0</v>
      </c>
      <c r="AL108" s="23">
        <f t="shared" si="147"/>
        <v>0</v>
      </c>
      <c r="AN108" s="23">
        <v>21</v>
      </c>
      <c r="AO108" s="23">
        <f>G108*0</f>
        <v>0</v>
      </c>
      <c r="AP108" s="23">
        <f>G108*(1-0)</f>
        <v>0</v>
      </c>
      <c r="AQ108" s="25" t="s">
        <v>94</v>
      </c>
      <c r="AV108" s="23">
        <f t="shared" si="148"/>
        <v>0</v>
      </c>
      <c r="AW108" s="23">
        <f t="shared" si="149"/>
        <v>0</v>
      </c>
      <c r="AX108" s="23">
        <f t="shared" si="150"/>
        <v>0</v>
      </c>
      <c r="AY108" s="25" t="s">
        <v>309</v>
      </c>
      <c r="AZ108" s="25" t="s">
        <v>285</v>
      </c>
      <c r="BA108" s="8" t="s">
        <v>62</v>
      </c>
      <c r="BC108" s="23">
        <f t="shared" si="151"/>
        <v>0</v>
      </c>
      <c r="BD108" s="23">
        <f t="shared" si="152"/>
        <v>0</v>
      </c>
      <c r="BE108" s="23">
        <v>0</v>
      </c>
      <c r="BF108" s="23">
        <f>108</f>
        <v>108</v>
      </c>
      <c r="BH108" s="23">
        <f t="shared" si="153"/>
        <v>0</v>
      </c>
      <c r="BI108" s="23">
        <f t="shared" si="154"/>
        <v>0</v>
      </c>
      <c r="BJ108" s="23">
        <f t="shared" si="155"/>
        <v>0</v>
      </c>
      <c r="BK108" s="23"/>
      <c r="BL108" s="23">
        <v>732</v>
      </c>
      <c r="BW108" s="23">
        <v>21</v>
      </c>
    </row>
    <row r="109" spans="1:75" ht="13.5" customHeight="1" x14ac:dyDescent="0.25">
      <c r="A109" s="2" t="s">
        <v>339</v>
      </c>
      <c r="B109" s="3" t="s">
        <v>340</v>
      </c>
      <c r="C109" s="80" t="s">
        <v>341</v>
      </c>
      <c r="D109" s="75"/>
      <c r="E109" s="3" t="s">
        <v>68</v>
      </c>
      <c r="F109" s="23">
        <v>2</v>
      </c>
      <c r="G109" s="23">
        <v>0</v>
      </c>
      <c r="H109" s="23">
        <f t="shared" si="134"/>
        <v>0</v>
      </c>
      <c r="I109" s="23">
        <f t="shared" si="135"/>
        <v>0</v>
      </c>
      <c r="J109" s="23">
        <f t="shared" si="136"/>
        <v>0</v>
      </c>
      <c r="K109" s="23">
        <v>0</v>
      </c>
      <c r="L109" s="24">
        <v>0</v>
      </c>
      <c r="Z109" s="23">
        <f t="shared" si="137"/>
        <v>0</v>
      </c>
      <c r="AB109" s="23">
        <f t="shared" si="138"/>
        <v>0</v>
      </c>
      <c r="AC109" s="23">
        <f t="shared" si="139"/>
        <v>0</v>
      </c>
      <c r="AD109" s="23">
        <f t="shared" si="140"/>
        <v>0</v>
      </c>
      <c r="AE109" s="23">
        <f t="shared" si="141"/>
        <v>0</v>
      </c>
      <c r="AF109" s="23">
        <f t="shared" si="142"/>
        <v>0</v>
      </c>
      <c r="AG109" s="23">
        <f t="shared" si="143"/>
        <v>0</v>
      </c>
      <c r="AH109" s="23">
        <f t="shared" si="144"/>
        <v>0</v>
      </c>
      <c r="AI109" s="8" t="s">
        <v>53</v>
      </c>
      <c r="AJ109" s="23">
        <f t="shared" si="145"/>
        <v>0</v>
      </c>
      <c r="AK109" s="23">
        <f t="shared" si="146"/>
        <v>0</v>
      </c>
      <c r="AL109" s="23">
        <f t="shared" si="147"/>
        <v>0</v>
      </c>
      <c r="AN109" s="23">
        <v>21</v>
      </c>
      <c r="AO109" s="23">
        <f>G109*0</f>
        <v>0</v>
      </c>
      <c r="AP109" s="23">
        <f>G109*(1-0)</f>
        <v>0</v>
      </c>
      <c r="AQ109" s="25" t="s">
        <v>94</v>
      </c>
      <c r="AV109" s="23">
        <f t="shared" si="148"/>
        <v>0</v>
      </c>
      <c r="AW109" s="23">
        <f t="shared" si="149"/>
        <v>0</v>
      </c>
      <c r="AX109" s="23">
        <f t="shared" si="150"/>
        <v>0</v>
      </c>
      <c r="AY109" s="25" t="s">
        <v>309</v>
      </c>
      <c r="AZ109" s="25" t="s">
        <v>285</v>
      </c>
      <c r="BA109" s="8" t="s">
        <v>62</v>
      </c>
      <c r="BC109" s="23">
        <f t="shared" si="151"/>
        <v>0</v>
      </c>
      <c r="BD109" s="23">
        <f t="shared" si="152"/>
        <v>0</v>
      </c>
      <c r="BE109" s="23">
        <v>0</v>
      </c>
      <c r="BF109" s="23">
        <f>109</f>
        <v>109</v>
      </c>
      <c r="BH109" s="23">
        <f t="shared" si="153"/>
        <v>0</v>
      </c>
      <c r="BI109" s="23">
        <f t="shared" si="154"/>
        <v>0</v>
      </c>
      <c r="BJ109" s="23">
        <f t="shared" si="155"/>
        <v>0</v>
      </c>
      <c r="BK109" s="23"/>
      <c r="BL109" s="23">
        <v>732</v>
      </c>
      <c r="BW109" s="23">
        <v>21</v>
      </c>
    </row>
    <row r="110" spans="1:75" ht="13.5" customHeight="1" x14ac:dyDescent="0.25">
      <c r="A110" s="2" t="s">
        <v>342</v>
      </c>
      <c r="B110" s="3" t="s">
        <v>343</v>
      </c>
      <c r="C110" s="80" t="s">
        <v>344</v>
      </c>
      <c r="D110" s="75"/>
      <c r="E110" s="3" t="s">
        <v>68</v>
      </c>
      <c r="F110" s="23">
        <v>2</v>
      </c>
      <c r="G110" s="23">
        <v>0</v>
      </c>
      <c r="H110" s="23">
        <f t="shared" si="134"/>
        <v>0</v>
      </c>
      <c r="I110" s="23">
        <f t="shared" si="135"/>
        <v>0</v>
      </c>
      <c r="J110" s="23">
        <f t="shared" si="136"/>
        <v>0</v>
      </c>
      <c r="K110" s="23">
        <v>0</v>
      </c>
      <c r="L110" s="24">
        <v>0</v>
      </c>
      <c r="Z110" s="23">
        <f t="shared" si="137"/>
        <v>0</v>
      </c>
      <c r="AB110" s="23">
        <f t="shared" si="138"/>
        <v>0</v>
      </c>
      <c r="AC110" s="23">
        <f t="shared" si="139"/>
        <v>0</v>
      </c>
      <c r="AD110" s="23">
        <f t="shared" si="140"/>
        <v>0</v>
      </c>
      <c r="AE110" s="23">
        <f t="shared" si="141"/>
        <v>0</v>
      </c>
      <c r="AF110" s="23">
        <f t="shared" si="142"/>
        <v>0</v>
      </c>
      <c r="AG110" s="23">
        <f t="shared" si="143"/>
        <v>0</v>
      </c>
      <c r="AH110" s="23">
        <f t="shared" si="144"/>
        <v>0</v>
      </c>
      <c r="AI110" s="8" t="s">
        <v>53</v>
      </c>
      <c r="AJ110" s="23">
        <f t="shared" si="145"/>
        <v>0</v>
      </c>
      <c r="AK110" s="23">
        <f t="shared" si="146"/>
        <v>0</v>
      </c>
      <c r="AL110" s="23">
        <f t="shared" si="147"/>
        <v>0</v>
      </c>
      <c r="AN110" s="23">
        <v>21</v>
      </c>
      <c r="AO110" s="23">
        <f>G110*0</f>
        <v>0</v>
      </c>
      <c r="AP110" s="23">
        <f>G110*(1-0)</f>
        <v>0</v>
      </c>
      <c r="AQ110" s="25" t="s">
        <v>94</v>
      </c>
      <c r="AV110" s="23">
        <f t="shared" si="148"/>
        <v>0</v>
      </c>
      <c r="AW110" s="23">
        <f t="shared" si="149"/>
        <v>0</v>
      </c>
      <c r="AX110" s="23">
        <f t="shared" si="150"/>
        <v>0</v>
      </c>
      <c r="AY110" s="25" t="s">
        <v>309</v>
      </c>
      <c r="AZ110" s="25" t="s">
        <v>285</v>
      </c>
      <c r="BA110" s="8" t="s">
        <v>62</v>
      </c>
      <c r="BC110" s="23">
        <f t="shared" si="151"/>
        <v>0</v>
      </c>
      <c r="BD110" s="23">
        <f t="shared" si="152"/>
        <v>0</v>
      </c>
      <c r="BE110" s="23">
        <v>0</v>
      </c>
      <c r="BF110" s="23">
        <f>110</f>
        <v>110</v>
      </c>
      <c r="BH110" s="23">
        <f t="shared" si="153"/>
        <v>0</v>
      </c>
      <c r="BI110" s="23">
        <f t="shared" si="154"/>
        <v>0</v>
      </c>
      <c r="BJ110" s="23">
        <f t="shared" si="155"/>
        <v>0</v>
      </c>
      <c r="BK110" s="23"/>
      <c r="BL110" s="23">
        <v>732</v>
      </c>
      <c r="BW110" s="23">
        <v>21</v>
      </c>
    </row>
    <row r="111" spans="1:75" ht="13.5" customHeight="1" x14ac:dyDescent="0.25">
      <c r="A111" s="2" t="s">
        <v>345</v>
      </c>
      <c r="B111" s="3" t="s">
        <v>346</v>
      </c>
      <c r="C111" s="80" t="s">
        <v>347</v>
      </c>
      <c r="D111" s="75"/>
      <c r="E111" s="3" t="s">
        <v>68</v>
      </c>
      <c r="F111" s="23">
        <v>1</v>
      </c>
      <c r="G111" s="23">
        <v>0</v>
      </c>
      <c r="H111" s="23">
        <f t="shared" si="134"/>
        <v>0</v>
      </c>
      <c r="I111" s="23">
        <f t="shared" si="135"/>
        <v>0</v>
      </c>
      <c r="J111" s="23">
        <f t="shared" si="136"/>
        <v>0</v>
      </c>
      <c r="K111" s="23">
        <v>0</v>
      </c>
      <c r="L111" s="24">
        <v>0</v>
      </c>
      <c r="Z111" s="23">
        <f t="shared" si="137"/>
        <v>0</v>
      </c>
      <c r="AB111" s="23">
        <f t="shared" si="138"/>
        <v>0</v>
      </c>
      <c r="AC111" s="23">
        <f t="shared" si="139"/>
        <v>0</v>
      </c>
      <c r="AD111" s="23">
        <f t="shared" si="140"/>
        <v>0</v>
      </c>
      <c r="AE111" s="23">
        <f t="shared" si="141"/>
        <v>0</v>
      </c>
      <c r="AF111" s="23">
        <f t="shared" si="142"/>
        <v>0</v>
      </c>
      <c r="AG111" s="23">
        <f t="shared" si="143"/>
        <v>0</v>
      </c>
      <c r="AH111" s="23">
        <f t="shared" si="144"/>
        <v>0</v>
      </c>
      <c r="AI111" s="8" t="s">
        <v>53</v>
      </c>
      <c r="AJ111" s="23">
        <f t="shared" si="145"/>
        <v>0</v>
      </c>
      <c r="AK111" s="23">
        <f t="shared" si="146"/>
        <v>0</v>
      </c>
      <c r="AL111" s="23">
        <f t="shared" si="147"/>
        <v>0</v>
      </c>
      <c r="AN111" s="23">
        <v>21</v>
      </c>
      <c r="AO111" s="23">
        <f>G111*0</f>
        <v>0</v>
      </c>
      <c r="AP111" s="23">
        <f>G111*(1-0)</f>
        <v>0</v>
      </c>
      <c r="AQ111" s="25" t="s">
        <v>94</v>
      </c>
      <c r="AV111" s="23">
        <f t="shared" si="148"/>
        <v>0</v>
      </c>
      <c r="AW111" s="23">
        <f t="shared" si="149"/>
        <v>0</v>
      </c>
      <c r="AX111" s="23">
        <f t="shared" si="150"/>
        <v>0</v>
      </c>
      <c r="AY111" s="25" t="s">
        <v>309</v>
      </c>
      <c r="AZ111" s="25" t="s">
        <v>285</v>
      </c>
      <c r="BA111" s="8" t="s">
        <v>62</v>
      </c>
      <c r="BC111" s="23">
        <f t="shared" si="151"/>
        <v>0</v>
      </c>
      <c r="BD111" s="23">
        <f t="shared" si="152"/>
        <v>0</v>
      </c>
      <c r="BE111" s="23">
        <v>0</v>
      </c>
      <c r="BF111" s="23">
        <f>111</f>
        <v>111</v>
      </c>
      <c r="BH111" s="23">
        <f t="shared" si="153"/>
        <v>0</v>
      </c>
      <c r="BI111" s="23">
        <f t="shared" si="154"/>
        <v>0</v>
      </c>
      <c r="BJ111" s="23">
        <f t="shared" si="155"/>
        <v>0</v>
      </c>
      <c r="BK111" s="23"/>
      <c r="BL111" s="23">
        <v>732</v>
      </c>
      <c r="BW111" s="23">
        <v>21</v>
      </c>
    </row>
    <row r="112" spans="1:75" ht="13.5" customHeight="1" x14ac:dyDescent="0.25">
      <c r="A112" s="2" t="s">
        <v>348</v>
      </c>
      <c r="B112" s="3" t="s">
        <v>349</v>
      </c>
      <c r="C112" s="80" t="s">
        <v>350</v>
      </c>
      <c r="D112" s="75"/>
      <c r="E112" s="3" t="s">
        <v>68</v>
      </c>
      <c r="F112" s="23">
        <v>2</v>
      </c>
      <c r="G112" s="23">
        <v>0</v>
      </c>
      <c r="H112" s="23">
        <f t="shared" si="134"/>
        <v>0</v>
      </c>
      <c r="I112" s="23">
        <f t="shared" si="135"/>
        <v>0</v>
      </c>
      <c r="J112" s="23">
        <f t="shared" si="136"/>
        <v>0</v>
      </c>
      <c r="K112" s="23">
        <v>0.11</v>
      </c>
      <c r="L112" s="24">
        <v>0.11</v>
      </c>
      <c r="Z112" s="23">
        <f t="shared" si="137"/>
        <v>0</v>
      </c>
      <c r="AB112" s="23">
        <f t="shared" si="138"/>
        <v>0</v>
      </c>
      <c r="AC112" s="23">
        <f t="shared" si="139"/>
        <v>0</v>
      </c>
      <c r="AD112" s="23">
        <f t="shared" si="140"/>
        <v>0</v>
      </c>
      <c r="AE112" s="23">
        <f t="shared" si="141"/>
        <v>0</v>
      </c>
      <c r="AF112" s="23">
        <f t="shared" si="142"/>
        <v>0</v>
      </c>
      <c r="AG112" s="23">
        <f t="shared" si="143"/>
        <v>0</v>
      </c>
      <c r="AH112" s="23">
        <f t="shared" si="144"/>
        <v>0</v>
      </c>
      <c r="AI112" s="8" t="s">
        <v>53</v>
      </c>
      <c r="AJ112" s="23">
        <f t="shared" si="145"/>
        <v>0</v>
      </c>
      <c r="AK112" s="23">
        <f t="shared" si="146"/>
        <v>0</v>
      </c>
      <c r="AL112" s="23">
        <f t="shared" si="147"/>
        <v>0</v>
      </c>
      <c r="AN112" s="23">
        <v>21</v>
      </c>
      <c r="AO112" s="23">
        <f>G112*0.96524809</f>
        <v>0</v>
      </c>
      <c r="AP112" s="23">
        <f>G112*(1-0.96524809)</f>
        <v>0</v>
      </c>
      <c r="AQ112" s="25" t="s">
        <v>94</v>
      </c>
      <c r="AV112" s="23">
        <f t="shared" si="148"/>
        <v>0</v>
      </c>
      <c r="AW112" s="23">
        <f t="shared" si="149"/>
        <v>0</v>
      </c>
      <c r="AX112" s="23">
        <f t="shared" si="150"/>
        <v>0</v>
      </c>
      <c r="AY112" s="25" t="s">
        <v>309</v>
      </c>
      <c r="AZ112" s="25" t="s">
        <v>285</v>
      </c>
      <c r="BA112" s="8" t="s">
        <v>62</v>
      </c>
      <c r="BC112" s="23">
        <f t="shared" si="151"/>
        <v>0</v>
      </c>
      <c r="BD112" s="23">
        <f t="shared" si="152"/>
        <v>0</v>
      </c>
      <c r="BE112" s="23">
        <v>0</v>
      </c>
      <c r="BF112" s="23">
        <f>112</f>
        <v>112</v>
      </c>
      <c r="BH112" s="23">
        <f t="shared" si="153"/>
        <v>0</v>
      </c>
      <c r="BI112" s="23">
        <f t="shared" si="154"/>
        <v>0</v>
      </c>
      <c r="BJ112" s="23">
        <f t="shared" si="155"/>
        <v>0</v>
      </c>
      <c r="BK112" s="23"/>
      <c r="BL112" s="23">
        <v>732</v>
      </c>
      <c r="BW112" s="23">
        <v>21</v>
      </c>
    </row>
    <row r="113" spans="1:75" ht="13.5" customHeight="1" x14ac:dyDescent="0.25">
      <c r="A113" s="2" t="s">
        <v>351</v>
      </c>
      <c r="B113" s="3" t="s">
        <v>352</v>
      </c>
      <c r="C113" s="80" t="s">
        <v>353</v>
      </c>
      <c r="D113" s="75"/>
      <c r="E113" s="3" t="s">
        <v>354</v>
      </c>
      <c r="F113" s="23">
        <v>40</v>
      </c>
      <c r="G113" s="23">
        <v>0</v>
      </c>
      <c r="H113" s="23">
        <f t="shared" si="134"/>
        <v>0</v>
      </c>
      <c r="I113" s="23">
        <f t="shared" si="135"/>
        <v>0</v>
      </c>
      <c r="J113" s="23">
        <f t="shared" si="136"/>
        <v>0</v>
      </c>
      <c r="K113" s="23">
        <v>1E-3</v>
      </c>
      <c r="L113" s="24">
        <v>1E-3</v>
      </c>
      <c r="Z113" s="23">
        <f t="shared" si="137"/>
        <v>0</v>
      </c>
      <c r="AB113" s="23">
        <f t="shared" si="138"/>
        <v>0</v>
      </c>
      <c r="AC113" s="23">
        <f t="shared" si="139"/>
        <v>0</v>
      </c>
      <c r="AD113" s="23">
        <f t="shared" si="140"/>
        <v>0</v>
      </c>
      <c r="AE113" s="23">
        <f t="shared" si="141"/>
        <v>0</v>
      </c>
      <c r="AF113" s="23">
        <f t="shared" si="142"/>
        <v>0</v>
      </c>
      <c r="AG113" s="23">
        <f t="shared" si="143"/>
        <v>0</v>
      </c>
      <c r="AH113" s="23">
        <f t="shared" si="144"/>
        <v>0</v>
      </c>
      <c r="AI113" s="8" t="s">
        <v>53</v>
      </c>
      <c r="AJ113" s="23">
        <f t="shared" si="145"/>
        <v>0</v>
      </c>
      <c r="AK113" s="23">
        <f t="shared" si="146"/>
        <v>0</v>
      </c>
      <c r="AL113" s="23">
        <f t="shared" si="147"/>
        <v>0</v>
      </c>
      <c r="AN113" s="23">
        <v>21</v>
      </c>
      <c r="AO113" s="23">
        <f>G113*0.987967068</f>
        <v>0</v>
      </c>
      <c r="AP113" s="23">
        <f>G113*(1-0.987967068)</f>
        <v>0</v>
      </c>
      <c r="AQ113" s="25" t="s">
        <v>94</v>
      </c>
      <c r="AV113" s="23">
        <f t="shared" si="148"/>
        <v>0</v>
      </c>
      <c r="AW113" s="23">
        <f t="shared" si="149"/>
        <v>0</v>
      </c>
      <c r="AX113" s="23">
        <f t="shared" si="150"/>
        <v>0</v>
      </c>
      <c r="AY113" s="25" t="s">
        <v>309</v>
      </c>
      <c r="AZ113" s="25" t="s">
        <v>285</v>
      </c>
      <c r="BA113" s="8" t="s">
        <v>62</v>
      </c>
      <c r="BC113" s="23">
        <f t="shared" si="151"/>
        <v>0</v>
      </c>
      <c r="BD113" s="23">
        <f t="shared" si="152"/>
        <v>0</v>
      </c>
      <c r="BE113" s="23">
        <v>0</v>
      </c>
      <c r="BF113" s="23">
        <f>113</f>
        <v>113</v>
      </c>
      <c r="BH113" s="23">
        <f t="shared" si="153"/>
        <v>0</v>
      </c>
      <c r="BI113" s="23">
        <f t="shared" si="154"/>
        <v>0</v>
      </c>
      <c r="BJ113" s="23">
        <f t="shared" si="155"/>
        <v>0</v>
      </c>
      <c r="BK113" s="23"/>
      <c r="BL113" s="23">
        <v>732</v>
      </c>
      <c r="BW113" s="23">
        <v>21</v>
      </c>
    </row>
    <row r="114" spans="1:75" ht="13.5" customHeight="1" x14ac:dyDescent="0.25">
      <c r="A114" s="2" t="s">
        <v>355</v>
      </c>
      <c r="B114" s="3" t="s">
        <v>356</v>
      </c>
      <c r="C114" s="80" t="s">
        <v>357</v>
      </c>
      <c r="D114" s="75"/>
      <c r="E114" s="3" t="s">
        <v>358</v>
      </c>
      <c r="F114" s="23">
        <v>1</v>
      </c>
      <c r="G114" s="23">
        <v>0</v>
      </c>
      <c r="H114" s="23">
        <f t="shared" si="134"/>
        <v>0</v>
      </c>
      <c r="I114" s="23">
        <f t="shared" si="135"/>
        <v>0</v>
      </c>
      <c r="J114" s="23">
        <f t="shared" si="136"/>
        <v>0</v>
      </c>
      <c r="K114" s="23">
        <v>1E-3</v>
      </c>
      <c r="L114" s="24">
        <v>1E-3</v>
      </c>
      <c r="Z114" s="23">
        <f t="shared" si="137"/>
        <v>0</v>
      </c>
      <c r="AB114" s="23">
        <f t="shared" si="138"/>
        <v>0</v>
      </c>
      <c r="AC114" s="23">
        <f t="shared" si="139"/>
        <v>0</v>
      </c>
      <c r="AD114" s="23">
        <f t="shared" si="140"/>
        <v>0</v>
      </c>
      <c r="AE114" s="23">
        <f t="shared" si="141"/>
        <v>0</v>
      </c>
      <c r="AF114" s="23">
        <f t="shared" si="142"/>
        <v>0</v>
      </c>
      <c r="AG114" s="23">
        <f t="shared" si="143"/>
        <v>0</v>
      </c>
      <c r="AH114" s="23">
        <f t="shared" si="144"/>
        <v>0</v>
      </c>
      <c r="AI114" s="8" t="s">
        <v>53</v>
      </c>
      <c r="AJ114" s="23">
        <f t="shared" si="145"/>
        <v>0</v>
      </c>
      <c r="AK114" s="23">
        <f t="shared" si="146"/>
        <v>0</v>
      </c>
      <c r="AL114" s="23">
        <f t="shared" si="147"/>
        <v>0</v>
      </c>
      <c r="AN114" s="23">
        <v>21</v>
      </c>
      <c r="AO114" s="23">
        <f>G114*1</f>
        <v>0</v>
      </c>
      <c r="AP114" s="23">
        <f>G114*(1-1)</f>
        <v>0</v>
      </c>
      <c r="AQ114" s="25" t="s">
        <v>94</v>
      </c>
      <c r="AV114" s="23">
        <f t="shared" si="148"/>
        <v>0</v>
      </c>
      <c r="AW114" s="23">
        <f t="shared" si="149"/>
        <v>0</v>
      </c>
      <c r="AX114" s="23">
        <f t="shared" si="150"/>
        <v>0</v>
      </c>
      <c r="AY114" s="25" t="s">
        <v>309</v>
      </c>
      <c r="AZ114" s="25" t="s">
        <v>285</v>
      </c>
      <c r="BA114" s="8" t="s">
        <v>62</v>
      </c>
      <c r="BC114" s="23">
        <f t="shared" si="151"/>
        <v>0</v>
      </c>
      <c r="BD114" s="23">
        <f t="shared" si="152"/>
        <v>0</v>
      </c>
      <c r="BE114" s="23">
        <v>0</v>
      </c>
      <c r="BF114" s="23">
        <f>114</f>
        <v>114</v>
      </c>
      <c r="BH114" s="23">
        <f t="shared" si="153"/>
        <v>0</v>
      </c>
      <c r="BI114" s="23">
        <f t="shared" si="154"/>
        <v>0</v>
      </c>
      <c r="BJ114" s="23">
        <f t="shared" si="155"/>
        <v>0</v>
      </c>
      <c r="BK114" s="23"/>
      <c r="BL114" s="23">
        <v>732</v>
      </c>
      <c r="BW114" s="23">
        <v>21</v>
      </c>
    </row>
    <row r="115" spans="1:75" x14ac:dyDescent="0.25">
      <c r="A115" s="30"/>
      <c r="C115" s="31" t="s">
        <v>56</v>
      </c>
      <c r="D115" s="31" t="s">
        <v>359</v>
      </c>
      <c r="F115" s="32">
        <v>1</v>
      </c>
      <c r="L115" s="33"/>
    </row>
    <row r="116" spans="1:75" x14ac:dyDescent="0.25">
      <c r="A116" s="26" t="s">
        <v>53</v>
      </c>
      <c r="B116" s="27" t="s">
        <v>360</v>
      </c>
      <c r="C116" s="98" t="s">
        <v>361</v>
      </c>
      <c r="D116" s="99"/>
      <c r="E116" s="28" t="s">
        <v>10</v>
      </c>
      <c r="F116" s="28" t="s">
        <v>10</v>
      </c>
      <c r="G116" s="28" t="s">
        <v>10</v>
      </c>
      <c r="H116" s="1">
        <f>SUM(H117:H124)</f>
        <v>0</v>
      </c>
      <c r="I116" s="1">
        <f>SUM(I117:I124)</f>
        <v>0</v>
      </c>
      <c r="J116" s="1">
        <f>SUM(J117:J124)</f>
        <v>0</v>
      </c>
      <c r="K116" s="8" t="s">
        <v>53</v>
      </c>
      <c r="L116" s="29" t="s">
        <v>53</v>
      </c>
      <c r="AI116" s="8" t="s">
        <v>53</v>
      </c>
      <c r="AS116" s="1">
        <f>SUM(AJ117:AJ124)</f>
        <v>0</v>
      </c>
      <c r="AT116" s="1">
        <f>SUM(AK117:AK124)</f>
        <v>0</v>
      </c>
      <c r="AU116" s="1">
        <f>SUM(AL117:AL124)</f>
        <v>0</v>
      </c>
    </row>
    <row r="117" spans="1:75" ht="13.5" customHeight="1" x14ac:dyDescent="0.25">
      <c r="A117" s="2" t="s">
        <v>362</v>
      </c>
      <c r="B117" s="3" t="s">
        <v>363</v>
      </c>
      <c r="C117" s="80" t="s">
        <v>364</v>
      </c>
      <c r="D117" s="75"/>
      <c r="E117" s="3" t="s">
        <v>102</v>
      </c>
      <c r="F117" s="23">
        <v>12</v>
      </c>
      <c r="G117" s="23">
        <v>0</v>
      </c>
      <c r="H117" s="23">
        <f t="shared" ref="H117:H124" si="156">F117*AO117</f>
        <v>0</v>
      </c>
      <c r="I117" s="23">
        <f t="shared" ref="I117:I124" si="157">F117*AP117</f>
        <v>0</v>
      </c>
      <c r="J117" s="23">
        <f t="shared" ref="J117:J124" si="158">F117*G117</f>
        <v>0</v>
      </c>
      <c r="K117" s="23">
        <v>9.0000000000000006E-5</v>
      </c>
      <c r="L117" s="24">
        <v>8.6700000000000006E-3</v>
      </c>
      <c r="Z117" s="23">
        <f t="shared" ref="Z117:Z124" si="159">IF(AQ117="5",BJ117,0)</f>
        <v>0</v>
      </c>
      <c r="AB117" s="23">
        <f t="shared" ref="AB117:AB124" si="160">IF(AQ117="1",BH117,0)</f>
        <v>0</v>
      </c>
      <c r="AC117" s="23">
        <f t="shared" ref="AC117:AC124" si="161">IF(AQ117="1",BI117,0)</f>
        <v>0</v>
      </c>
      <c r="AD117" s="23">
        <f t="shared" ref="AD117:AD124" si="162">IF(AQ117="7",BH117,0)</f>
        <v>0</v>
      </c>
      <c r="AE117" s="23">
        <f t="shared" ref="AE117:AE124" si="163">IF(AQ117="7",BI117,0)</f>
        <v>0</v>
      </c>
      <c r="AF117" s="23">
        <f t="shared" ref="AF117:AF124" si="164">IF(AQ117="2",BH117,0)</f>
        <v>0</v>
      </c>
      <c r="AG117" s="23">
        <f t="shared" ref="AG117:AG124" si="165">IF(AQ117="2",BI117,0)</f>
        <v>0</v>
      </c>
      <c r="AH117" s="23">
        <f t="shared" ref="AH117:AH124" si="166">IF(AQ117="0",BJ117,0)</f>
        <v>0</v>
      </c>
      <c r="AI117" s="8" t="s">
        <v>53</v>
      </c>
      <c r="AJ117" s="23">
        <f t="shared" ref="AJ117:AJ124" si="167">IF(AN117=0,J117,0)</f>
        <v>0</v>
      </c>
      <c r="AK117" s="23">
        <f t="shared" ref="AK117:AK124" si="168">IF(AN117=12,J117,0)</f>
        <v>0</v>
      </c>
      <c r="AL117" s="23">
        <f t="shared" ref="AL117:AL124" si="169">IF(AN117=21,J117,0)</f>
        <v>0</v>
      </c>
      <c r="AN117" s="23">
        <v>21</v>
      </c>
      <c r="AO117" s="23">
        <f>G117*0.303899371</f>
        <v>0</v>
      </c>
      <c r="AP117" s="23">
        <f>G117*(1-0.303899371)</f>
        <v>0</v>
      </c>
      <c r="AQ117" s="25" t="s">
        <v>94</v>
      </c>
      <c r="AV117" s="23">
        <f t="shared" ref="AV117:AV124" si="170">AW117+AX117</f>
        <v>0</v>
      </c>
      <c r="AW117" s="23">
        <f t="shared" ref="AW117:AW124" si="171">F117*AO117</f>
        <v>0</v>
      </c>
      <c r="AX117" s="23">
        <f t="shared" ref="AX117:AX124" si="172">F117*AP117</f>
        <v>0</v>
      </c>
      <c r="AY117" s="25" t="s">
        <v>365</v>
      </c>
      <c r="AZ117" s="25" t="s">
        <v>285</v>
      </c>
      <c r="BA117" s="8" t="s">
        <v>62</v>
      </c>
      <c r="BC117" s="23">
        <f t="shared" ref="BC117:BC124" si="173">AW117+AX117</f>
        <v>0</v>
      </c>
      <c r="BD117" s="23">
        <f t="shared" ref="BD117:BD124" si="174">G117/(100-BE117)*100</f>
        <v>0</v>
      </c>
      <c r="BE117" s="23">
        <v>0</v>
      </c>
      <c r="BF117" s="23">
        <f>117</f>
        <v>117</v>
      </c>
      <c r="BH117" s="23">
        <f t="shared" ref="BH117:BH124" si="175">F117*AO117</f>
        <v>0</v>
      </c>
      <c r="BI117" s="23">
        <f t="shared" ref="BI117:BI124" si="176">F117*AP117</f>
        <v>0</v>
      </c>
      <c r="BJ117" s="23">
        <f t="shared" ref="BJ117:BJ124" si="177">F117*G117</f>
        <v>0</v>
      </c>
      <c r="BK117" s="23"/>
      <c r="BL117" s="23">
        <v>733</v>
      </c>
      <c r="BW117" s="23">
        <v>21</v>
      </c>
    </row>
    <row r="118" spans="1:75" ht="13.5" customHeight="1" x14ac:dyDescent="0.25">
      <c r="A118" s="2" t="s">
        <v>366</v>
      </c>
      <c r="B118" s="3" t="s">
        <v>367</v>
      </c>
      <c r="C118" s="80" t="s">
        <v>368</v>
      </c>
      <c r="D118" s="75"/>
      <c r="E118" s="3" t="s">
        <v>102</v>
      </c>
      <c r="F118" s="23">
        <v>12</v>
      </c>
      <c r="G118" s="23">
        <v>0</v>
      </c>
      <c r="H118" s="23">
        <f t="shared" si="156"/>
        <v>0</v>
      </c>
      <c r="I118" s="23">
        <f t="shared" si="157"/>
        <v>0</v>
      </c>
      <c r="J118" s="23">
        <f t="shared" si="158"/>
        <v>0</v>
      </c>
      <c r="K118" s="23">
        <v>7.8300000000000002E-3</v>
      </c>
      <c r="L118" s="24">
        <v>7.8300000000000002E-3</v>
      </c>
      <c r="Z118" s="23">
        <f t="shared" si="159"/>
        <v>0</v>
      </c>
      <c r="AB118" s="23">
        <f t="shared" si="160"/>
        <v>0</v>
      </c>
      <c r="AC118" s="23">
        <f t="shared" si="161"/>
        <v>0</v>
      </c>
      <c r="AD118" s="23">
        <f t="shared" si="162"/>
        <v>0</v>
      </c>
      <c r="AE118" s="23">
        <f t="shared" si="163"/>
        <v>0</v>
      </c>
      <c r="AF118" s="23">
        <f t="shared" si="164"/>
        <v>0</v>
      </c>
      <c r="AG118" s="23">
        <f t="shared" si="165"/>
        <v>0</v>
      </c>
      <c r="AH118" s="23">
        <f t="shared" si="166"/>
        <v>0</v>
      </c>
      <c r="AI118" s="8" t="s">
        <v>53</v>
      </c>
      <c r="AJ118" s="23">
        <f t="shared" si="167"/>
        <v>0</v>
      </c>
      <c r="AK118" s="23">
        <f t="shared" si="168"/>
        <v>0</v>
      </c>
      <c r="AL118" s="23">
        <f t="shared" si="169"/>
        <v>0</v>
      </c>
      <c r="AN118" s="23">
        <v>21</v>
      </c>
      <c r="AO118" s="23">
        <f>G118*0.583676333</f>
        <v>0</v>
      </c>
      <c r="AP118" s="23">
        <f>G118*(1-0.583676333)</f>
        <v>0</v>
      </c>
      <c r="AQ118" s="25" t="s">
        <v>94</v>
      </c>
      <c r="AV118" s="23">
        <f t="shared" si="170"/>
        <v>0</v>
      </c>
      <c r="AW118" s="23">
        <f t="shared" si="171"/>
        <v>0</v>
      </c>
      <c r="AX118" s="23">
        <f t="shared" si="172"/>
        <v>0</v>
      </c>
      <c r="AY118" s="25" t="s">
        <v>365</v>
      </c>
      <c r="AZ118" s="25" t="s">
        <v>285</v>
      </c>
      <c r="BA118" s="8" t="s">
        <v>62</v>
      </c>
      <c r="BC118" s="23">
        <f t="shared" si="173"/>
        <v>0</v>
      </c>
      <c r="BD118" s="23">
        <f t="shared" si="174"/>
        <v>0</v>
      </c>
      <c r="BE118" s="23">
        <v>0</v>
      </c>
      <c r="BF118" s="23">
        <f>118</f>
        <v>118</v>
      </c>
      <c r="BH118" s="23">
        <f t="shared" si="175"/>
        <v>0</v>
      </c>
      <c r="BI118" s="23">
        <f t="shared" si="176"/>
        <v>0</v>
      </c>
      <c r="BJ118" s="23">
        <f t="shared" si="177"/>
        <v>0</v>
      </c>
      <c r="BK118" s="23"/>
      <c r="BL118" s="23">
        <v>733</v>
      </c>
      <c r="BW118" s="23">
        <v>21</v>
      </c>
    </row>
    <row r="119" spans="1:75" ht="13.5" customHeight="1" x14ac:dyDescent="0.25">
      <c r="A119" s="2" t="s">
        <v>369</v>
      </c>
      <c r="B119" s="3" t="s">
        <v>370</v>
      </c>
      <c r="C119" s="80" t="s">
        <v>371</v>
      </c>
      <c r="D119" s="75"/>
      <c r="E119" s="3" t="s">
        <v>102</v>
      </c>
      <c r="F119" s="23">
        <v>6</v>
      </c>
      <c r="G119" s="23">
        <v>0</v>
      </c>
      <c r="H119" s="23">
        <f t="shared" si="156"/>
        <v>0</v>
      </c>
      <c r="I119" s="23">
        <f t="shared" si="157"/>
        <v>0</v>
      </c>
      <c r="J119" s="23">
        <f t="shared" si="158"/>
        <v>0</v>
      </c>
      <c r="K119" s="23">
        <v>7.1599999999999997E-3</v>
      </c>
      <c r="L119" s="24">
        <v>7.1599999999999997E-3</v>
      </c>
      <c r="Z119" s="23">
        <f t="shared" si="159"/>
        <v>0</v>
      </c>
      <c r="AB119" s="23">
        <f t="shared" si="160"/>
        <v>0</v>
      </c>
      <c r="AC119" s="23">
        <f t="shared" si="161"/>
        <v>0</v>
      </c>
      <c r="AD119" s="23">
        <f t="shared" si="162"/>
        <v>0</v>
      </c>
      <c r="AE119" s="23">
        <f t="shared" si="163"/>
        <v>0</v>
      </c>
      <c r="AF119" s="23">
        <f t="shared" si="164"/>
        <v>0</v>
      </c>
      <c r="AG119" s="23">
        <f t="shared" si="165"/>
        <v>0</v>
      </c>
      <c r="AH119" s="23">
        <f t="shared" si="166"/>
        <v>0</v>
      </c>
      <c r="AI119" s="8" t="s">
        <v>53</v>
      </c>
      <c r="AJ119" s="23">
        <f t="shared" si="167"/>
        <v>0</v>
      </c>
      <c r="AK119" s="23">
        <f t="shared" si="168"/>
        <v>0</v>
      </c>
      <c r="AL119" s="23">
        <f t="shared" si="169"/>
        <v>0</v>
      </c>
      <c r="AN119" s="23">
        <v>21</v>
      </c>
      <c r="AO119" s="23">
        <f>G119*0.528709302</f>
        <v>0</v>
      </c>
      <c r="AP119" s="23">
        <f>G119*(1-0.528709302)</f>
        <v>0</v>
      </c>
      <c r="AQ119" s="25" t="s">
        <v>94</v>
      </c>
      <c r="AV119" s="23">
        <f t="shared" si="170"/>
        <v>0</v>
      </c>
      <c r="AW119" s="23">
        <f t="shared" si="171"/>
        <v>0</v>
      </c>
      <c r="AX119" s="23">
        <f t="shared" si="172"/>
        <v>0</v>
      </c>
      <c r="AY119" s="25" t="s">
        <v>365</v>
      </c>
      <c r="AZ119" s="25" t="s">
        <v>285</v>
      </c>
      <c r="BA119" s="8" t="s">
        <v>62</v>
      </c>
      <c r="BC119" s="23">
        <f t="shared" si="173"/>
        <v>0</v>
      </c>
      <c r="BD119" s="23">
        <f t="shared" si="174"/>
        <v>0</v>
      </c>
      <c r="BE119" s="23">
        <v>0</v>
      </c>
      <c r="BF119" s="23">
        <f>119</f>
        <v>119</v>
      </c>
      <c r="BH119" s="23">
        <f t="shared" si="175"/>
        <v>0</v>
      </c>
      <c r="BI119" s="23">
        <f t="shared" si="176"/>
        <v>0</v>
      </c>
      <c r="BJ119" s="23">
        <f t="shared" si="177"/>
        <v>0</v>
      </c>
      <c r="BK119" s="23"/>
      <c r="BL119" s="23">
        <v>733</v>
      </c>
      <c r="BW119" s="23">
        <v>21</v>
      </c>
    </row>
    <row r="120" spans="1:75" ht="13.5" customHeight="1" x14ac:dyDescent="0.25">
      <c r="A120" s="2" t="s">
        <v>372</v>
      </c>
      <c r="B120" s="3" t="s">
        <v>373</v>
      </c>
      <c r="C120" s="80" t="s">
        <v>374</v>
      </c>
      <c r="D120" s="75"/>
      <c r="E120" s="3" t="s">
        <v>102</v>
      </c>
      <c r="F120" s="23">
        <v>6</v>
      </c>
      <c r="G120" s="23">
        <v>0</v>
      </c>
      <c r="H120" s="23">
        <f t="shared" si="156"/>
        <v>0</v>
      </c>
      <c r="I120" s="23">
        <f t="shared" si="157"/>
        <v>0</v>
      </c>
      <c r="J120" s="23">
        <f t="shared" si="158"/>
        <v>0</v>
      </c>
      <c r="K120" s="23">
        <v>5.64E-3</v>
      </c>
      <c r="L120" s="24">
        <v>5.64E-3</v>
      </c>
      <c r="Z120" s="23">
        <f t="shared" si="159"/>
        <v>0</v>
      </c>
      <c r="AB120" s="23">
        <f t="shared" si="160"/>
        <v>0</v>
      </c>
      <c r="AC120" s="23">
        <f t="shared" si="161"/>
        <v>0</v>
      </c>
      <c r="AD120" s="23">
        <f t="shared" si="162"/>
        <v>0</v>
      </c>
      <c r="AE120" s="23">
        <f t="shared" si="163"/>
        <v>0</v>
      </c>
      <c r="AF120" s="23">
        <f t="shared" si="164"/>
        <v>0</v>
      </c>
      <c r="AG120" s="23">
        <f t="shared" si="165"/>
        <v>0</v>
      </c>
      <c r="AH120" s="23">
        <f t="shared" si="166"/>
        <v>0</v>
      </c>
      <c r="AI120" s="8" t="s">
        <v>53</v>
      </c>
      <c r="AJ120" s="23">
        <f t="shared" si="167"/>
        <v>0</v>
      </c>
      <c r="AK120" s="23">
        <f t="shared" si="168"/>
        <v>0</v>
      </c>
      <c r="AL120" s="23">
        <f t="shared" si="169"/>
        <v>0</v>
      </c>
      <c r="AN120" s="23">
        <v>21</v>
      </c>
      <c r="AO120" s="23">
        <f>G120*0.498256228</f>
        <v>0</v>
      </c>
      <c r="AP120" s="23">
        <f>G120*(1-0.498256228)</f>
        <v>0</v>
      </c>
      <c r="AQ120" s="25" t="s">
        <v>94</v>
      </c>
      <c r="AV120" s="23">
        <f t="shared" si="170"/>
        <v>0</v>
      </c>
      <c r="AW120" s="23">
        <f t="shared" si="171"/>
        <v>0</v>
      </c>
      <c r="AX120" s="23">
        <f t="shared" si="172"/>
        <v>0</v>
      </c>
      <c r="AY120" s="25" t="s">
        <v>365</v>
      </c>
      <c r="AZ120" s="25" t="s">
        <v>285</v>
      </c>
      <c r="BA120" s="8" t="s">
        <v>62</v>
      </c>
      <c r="BC120" s="23">
        <f t="shared" si="173"/>
        <v>0</v>
      </c>
      <c r="BD120" s="23">
        <f t="shared" si="174"/>
        <v>0</v>
      </c>
      <c r="BE120" s="23">
        <v>0</v>
      </c>
      <c r="BF120" s="23">
        <f>120</f>
        <v>120</v>
      </c>
      <c r="BH120" s="23">
        <f t="shared" si="175"/>
        <v>0</v>
      </c>
      <c r="BI120" s="23">
        <f t="shared" si="176"/>
        <v>0</v>
      </c>
      <c r="BJ120" s="23">
        <f t="shared" si="177"/>
        <v>0</v>
      </c>
      <c r="BK120" s="23"/>
      <c r="BL120" s="23">
        <v>733</v>
      </c>
      <c r="BW120" s="23">
        <v>21</v>
      </c>
    </row>
    <row r="121" spans="1:75" ht="13.5" customHeight="1" x14ac:dyDescent="0.25">
      <c r="A121" s="2" t="s">
        <v>375</v>
      </c>
      <c r="B121" s="3" t="s">
        <v>376</v>
      </c>
      <c r="C121" s="80" t="s">
        <v>377</v>
      </c>
      <c r="D121" s="75"/>
      <c r="E121" s="3" t="s">
        <v>68</v>
      </c>
      <c r="F121" s="23">
        <v>2</v>
      </c>
      <c r="G121" s="23">
        <v>0</v>
      </c>
      <c r="H121" s="23">
        <f t="shared" si="156"/>
        <v>0</v>
      </c>
      <c r="I121" s="23">
        <f t="shared" si="157"/>
        <v>0</v>
      </c>
      <c r="J121" s="23">
        <f t="shared" si="158"/>
        <v>0</v>
      </c>
      <c r="K121" s="23">
        <v>0</v>
      </c>
      <c r="L121" s="24">
        <v>0</v>
      </c>
      <c r="Z121" s="23">
        <f t="shared" si="159"/>
        <v>0</v>
      </c>
      <c r="AB121" s="23">
        <f t="shared" si="160"/>
        <v>0</v>
      </c>
      <c r="AC121" s="23">
        <f t="shared" si="161"/>
        <v>0</v>
      </c>
      <c r="AD121" s="23">
        <f t="shared" si="162"/>
        <v>0</v>
      </c>
      <c r="AE121" s="23">
        <f t="shared" si="163"/>
        <v>0</v>
      </c>
      <c r="AF121" s="23">
        <f t="shared" si="164"/>
        <v>0</v>
      </c>
      <c r="AG121" s="23">
        <f t="shared" si="165"/>
        <v>0</v>
      </c>
      <c r="AH121" s="23">
        <f t="shared" si="166"/>
        <v>0</v>
      </c>
      <c r="AI121" s="8" t="s">
        <v>53</v>
      </c>
      <c r="AJ121" s="23">
        <f t="shared" si="167"/>
        <v>0</v>
      </c>
      <c r="AK121" s="23">
        <f t="shared" si="168"/>
        <v>0</v>
      </c>
      <c r="AL121" s="23">
        <f t="shared" si="169"/>
        <v>0</v>
      </c>
      <c r="AN121" s="23">
        <v>21</v>
      </c>
      <c r="AO121" s="23">
        <f>G121*0</f>
        <v>0</v>
      </c>
      <c r="AP121" s="23">
        <f>G121*(1-0)</f>
        <v>0</v>
      </c>
      <c r="AQ121" s="25" t="s">
        <v>94</v>
      </c>
      <c r="AV121" s="23">
        <f t="shared" si="170"/>
        <v>0</v>
      </c>
      <c r="AW121" s="23">
        <f t="shared" si="171"/>
        <v>0</v>
      </c>
      <c r="AX121" s="23">
        <f t="shared" si="172"/>
        <v>0</v>
      </c>
      <c r="AY121" s="25" t="s">
        <v>365</v>
      </c>
      <c r="AZ121" s="25" t="s">
        <v>285</v>
      </c>
      <c r="BA121" s="8" t="s">
        <v>62</v>
      </c>
      <c r="BC121" s="23">
        <f t="shared" si="173"/>
        <v>0</v>
      </c>
      <c r="BD121" s="23">
        <f t="shared" si="174"/>
        <v>0</v>
      </c>
      <c r="BE121" s="23">
        <v>0</v>
      </c>
      <c r="BF121" s="23">
        <f>121</f>
        <v>121</v>
      </c>
      <c r="BH121" s="23">
        <f t="shared" si="175"/>
        <v>0</v>
      </c>
      <c r="BI121" s="23">
        <f t="shared" si="176"/>
        <v>0</v>
      </c>
      <c r="BJ121" s="23">
        <f t="shared" si="177"/>
        <v>0</v>
      </c>
      <c r="BK121" s="23"/>
      <c r="BL121" s="23">
        <v>733</v>
      </c>
      <c r="BW121" s="23">
        <v>21</v>
      </c>
    </row>
    <row r="122" spans="1:75" ht="13.5" customHeight="1" x14ac:dyDescent="0.25">
      <c r="A122" s="2" t="s">
        <v>378</v>
      </c>
      <c r="B122" s="3" t="s">
        <v>379</v>
      </c>
      <c r="C122" s="80" t="s">
        <v>380</v>
      </c>
      <c r="D122" s="75"/>
      <c r="E122" s="3" t="s">
        <v>68</v>
      </c>
      <c r="F122" s="23">
        <v>8</v>
      </c>
      <c r="G122" s="23">
        <v>0</v>
      </c>
      <c r="H122" s="23">
        <f t="shared" si="156"/>
        <v>0</v>
      </c>
      <c r="I122" s="23">
        <f t="shared" si="157"/>
        <v>0</v>
      </c>
      <c r="J122" s="23">
        <f t="shared" si="158"/>
        <v>0</v>
      </c>
      <c r="K122" s="23">
        <v>0</v>
      </c>
      <c r="L122" s="24">
        <v>0</v>
      </c>
      <c r="Z122" s="23">
        <f t="shared" si="159"/>
        <v>0</v>
      </c>
      <c r="AB122" s="23">
        <f t="shared" si="160"/>
        <v>0</v>
      </c>
      <c r="AC122" s="23">
        <f t="shared" si="161"/>
        <v>0</v>
      </c>
      <c r="AD122" s="23">
        <f t="shared" si="162"/>
        <v>0</v>
      </c>
      <c r="AE122" s="23">
        <f t="shared" si="163"/>
        <v>0</v>
      </c>
      <c r="AF122" s="23">
        <f t="shared" si="164"/>
        <v>0</v>
      </c>
      <c r="AG122" s="23">
        <f t="shared" si="165"/>
        <v>0</v>
      </c>
      <c r="AH122" s="23">
        <f t="shared" si="166"/>
        <v>0</v>
      </c>
      <c r="AI122" s="8" t="s">
        <v>53</v>
      </c>
      <c r="AJ122" s="23">
        <f t="shared" si="167"/>
        <v>0</v>
      </c>
      <c r="AK122" s="23">
        <f t="shared" si="168"/>
        <v>0</v>
      </c>
      <c r="AL122" s="23">
        <f t="shared" si="169"/>
        <v>0</v>
      </c>
      <c r="AN122" s="23">
        <v>21</v>
      </c>
      <c r="AO122" s="23">
        <f>G122*0</f>
        <v>0</v>
      </c>
      <c r="AP122" s="23">
        <f>G122*(1-0)</f>
        <v>0</v>
      </c>
      <c r="AQ122" s="25" t="s">
        <v>94</v>
      </c>
      <c r="AV122" s="23">
        <f t="shared" si="170"/>
        <v>0</v>
      </c>
      <c r="AW122" s="23">
        <f t="shared" si="171"/>
        <v>0</v>
      </c>
      <c r="AX122" s="23">
        <f t="shared" si="172"/>
        <v>0</v>
      </c>
      <c r="AY122" s="25" t="s">
        <v>365</v>
      </c>
      <c r="AZ122" s="25" t="s">
        <v>285</v>
      </c>
      <c r="BA122" s="8" t="s">
        <v>62</v>
      </c>
      <c r="BC122" s="23">
        <f t="shared" si="173"/>
        <v>0</v>
      </c>
      <c r="BD122" s="23">
        <f t="shared" si="174"/>
        <v>0</v>
      </c>
      <c r="BE122" s="23">
        <v>0</v>
      </c>
      <c r="BF122" s="23">
        <f>122</f>
        <v>122</v>
      </c>
      <c r="BH122" s="23">
        <f t="shared" si="175"/>
        <v>0</v>
      </c>
      <c r="BI122" s="23">
        <f t="shared" si="176"/>
        <v>0</v>
      </c>
      <c r="BJ122" s="23">
        <f t="shared" si="177"/>
        <v>0</v>
      </c>
      <c r="BK122" s="23"/>
      <c r="BL122" s="23">
        <v>733</v>
      </c>
      <c r="BW122" s="23">
        <v>21</v>
      </c>
    </row>
    <row r="123" spans="1:75" ht="13.5" customHeight="1" x14ac:dyDescent="0.25">
      <c r="A123" s="2" t="s">
        <v>381</v>
      </c>
      <c r="B123" s="3" t="s">
        <v>382</v>
      </c>
      <c r="C123" s="80" t="s">
        <v>383</v>
      </c>
      <c r="D123" s="75"/>
      <c r="E123" s="3" t="s">
        <v>68</v>
      </c>
      <c r="F123" s="23">
        <v>6</v>
      </c>
      <c r="G123" s="23">
        <v>0</v>
      </c>
      <c r="H123" s="23">
        <f t="shared" si="156"/>
        <v>0</v>
      </c>
      <c r="I123" s="23">
        <f t="shared" si="157"/>
        <v>0</v>
      </c>
      <c r="J123" s="23">
        <f t="shared" si="158"/>
        <v>0</v>
      </c>
      <c r="K123" s="23">
        <v>5.2999999999999998E-4</v>
      </c>
      <c r="L123" s="24">
        <v>5.2999999999999998E-4</v>
      </c>
      <c r="Z123" s="23">
        <f t="shared" si="159"/>
        <v>0</v>
      </c>
      <c r="AB123" s="23">
        <f t="shared" si="160"/>
        <v>0</v>
      </c>
      <c r="AC123" s="23">
        <f t="shared" si="161"/>
        <v>0</v>
      </c>
      <c r="AD123" s="23">
        <f t="shared" si="162"/>
        <v>0</v>
      </c>
      <c r="AE123" s="23">
        <f t="shared" si="163"/>
        <v>0</v>
      </c>
      <c r="AF123" s="23">
        <f t="shared" si="164"/>
        <v>0</v>
      </c>
      <c r="AG123" s="23">
        <f t="shared" si="165"/>
        <v>0</v>
      </c>
      <c r="AH123" s="23">
        <f t="shared" si="166"/>
        <v>0</v>
      </c>
      <c r="AI123" s="8" t="s">
        <v>53</v>
      </c>
      <c r="AJ123" s="23">
        <f t="shared" si="167"/>
        <v>0</v>
      </c>
      <c r="AK123" s="23">
        <f t="shared" si="168"/>
        <v>0</v>
      </c>
      <c r="AL123" s="23">
        <f t="shared" si="169"/>
        <v>0</v>
      </c>
      <c r="AN123" s="23">
        <v>21</v>
      </c>
      <c r="AO123" s="23">
        <f>G123*0.599039039</f>
        <v>0</v>
      </c>
      <c r="AP123" s="23">
        <f>G123*(1-0.599039039)</f>
        <v>0</v>
      </c>
      <c r="AQ123" s="25" t="s">
        <v>94</v>
      </c>
      <c r="AV123" s="23">
        <f t="shared" si="170"/>
        <v>0</v>
      </c>
      <c r="AW123" s="23">
        <f t="shared" si="171"/>
        <v>0</v>
      </c>
      <c r="AX123" s="23">
        <f t="shared" si="172"/>
        <v>0</v>
      </c>
      <c r="AY123" s="25" t="s">
        <v>365</v>
      </c>
      <c r="AZ123" s="25" t="s">
        <v>285</v>
      </c>
      <c r="BA123" s="8" t="s">
        <v>62</v>
      </c>
      <c r="BC123" s="23">
        <f t="shared" si="173"/>
        <v>0</v>
      </c>
      <c r="BD123" s="23">
        <f t="shared" si="174"/>
        <v>0</v>
      </c>
      <c r="BE123" s="23">
        <v>0</v>
      </c>
      <c r="BF123" s="23">
        <f>123</f>
        <v>123</v>
      </c>
      <c r="BH123" s="23">
        <f t="shared" si="175"/>
        <v>0</v>
      </c>
      <c r="BI123" s="23">
        <f t="shared" si="176"/>
        <v>0</v>
      </c>
      <c r="BJ123" s="23">
        <f t="shared" si="177"/>
        <v>0</v>
      </c>
      <c r="BK123" s="23"/>
      <c r="BL123" s="23">
        <v>733</v>
      </c>
      <c r="BW123" s="23">
        <v>21</v>
      </c>
    </row>
    <row r="124" spans="1:75" ht="13.5" customHeight="1" x14ac:dyDescent="0.25">
      <c r="A124" s="2" t="s">
        <v>384</v>
      </c>
      <c r="B124" s="3" t="s">
        <v>385</v>
      </c>
      <c r="C124" s="80" t="s">
        <v>386</v>
      </c>
      <c r="D124" s="75"/>
      <c r="E124" s="3" t="s">
        <v>68</v>
      </c>
      <c r="F124" s="23">
        <v>1</v>
      </c>
      <c r="G124" s="23">
        <v>0</v>
      </c>
      <c r="H124" s="23">
        <f t="shared" si="156"/>
        <v>0</v>
      </c>
      <c r="I124" s="23">
        <f t="shared" si="157"/>
        <v>0</v>
      </c>
      <c r="J124" s="23">
        <f t="shared" si="158"/>
        <v>0</v>
      </c>
      <c r="K124" s="23">
        <v>0</v>
      </c>
      <c r="L124" s="24">
        <v>0</v>
      </c>
      <c r="Z124" s="23">
        <f t="shared" si="159"/>
        <v>0</v>
      </c>
      <c r="AB124" s="23">
        <f t="shared" si="160"/>
        <v>0</v>
      </c>
      <c r="AC124" s="23">
        <f t="shared" si="161"/>
        <v>0</v>
      </c>
      <c r="AD124" s="23">
        <f t="shared" si="162"/>
        <v>0</v>
      </c>
      <c r="AE124" s="23">
        <f t="shared" si="163"/>
        <v>0</v>
      </c>
      <c r="AF124" s="23">
        <f t="shared" si="164"/>
        <v>0</v>
      </c>
      <c r="AG124" s="23">
        <f t="shared" si="165"/>
        <v>0</v>
      </c>
      <c r="AH124" s="23">
        <f t="shared" si="166"/>
        <v>0</v>
      </c>
      <c r="AI124" s="8" t="s">
        <v>53</v>
      </c>
      <c r="AJ124" s="23">
        <f t="shared" si="167"/>
        <v>0</v>
      </c>
      <c r="AK124" s="23">
        <f t="shared" si="168"/>
        <v>0</v>
      </c>
      <c r="AL124" s="23">
        <f t="shared" si="169"/>
        <v>0</v>
      </c>
      <c r="AN124" s="23">
        <v>21</v>
      </c>
      <c r="AO124" s="23">
        <f>G124*0.297658863</f>
        <v>0</v>
      </c>
      <c r="AP124" s="23">
        <f>G124*(1-0.297658863)</f>
        <v>0</v>
      </c>
      <c r="AQ124" s="25" t="s">
        <v>94</v>
      </c>
      <c r="AV124" s="23">
        <f t="shared" si="170"/>
        <v>0</v>
      </c>
      <c r="AW124" s="23">
        <f t="shared" si="171"/>
        <v>0</v>
      </c>
      <c r="AX124" s="23">
        <f t="shared" si="172"/>
        <v>0</v>
      </c>
      <c r="AY124" s="25" t="s">
        <v>365</v>
      </c>
      <c r="AZ124" s="25" t="s">
        <v>285</v>
      </c>
      <c r="BA124" s="8" t="s">
        <v>62</v>
      </c>
      <c r="BC124" s="23">
        <f t="shared" si="173"/>
        <v>0</v>
      </c>
      <c r="BD124" s="23">
        <f t="shared" si="174"/>
        <v>0</v>
      </c>
      <c r="BE124" s="23">
        <v>0</v>
      </c>
      <c r="BF124" s="23">
        <f>124</f>
        <v>124</v>
      </c>
      <c r="BH124" s="23">
        <f t="shared" si="175"/>
        <v>0</v>
      </c>
      <c r="BI124" s="23">
        <f t="shared" si="176"/>
        <v>0</v>
      </c>
      <c r="BJ124" s="23">
        <f t="shared" si="177"/>
        <v>0</v>
      </c>
      <c r="BK124" s="23"/>
      <c r="BL124" s="23">
        <v>733</v>
      </c>
      <c r="BW124" s="23">
        <v>21</v>
      </c>
    </row>
    <row r="125" spans="1:75" x14ac:dyDescent="0.25">
      <c r="A125" s="26" t="s">
        <v>53</v>
      </c>
      <c r="B125" s="27" t="s">
        <v>387</v>
      </c>
      <c r="C125" s="98" t="s">
        <v>388</v>
      </c>
      <c r="D125" s="99"/>
      <c r="E125" s="28" t="s">
        <v>10</v>
      </c>
      <c r="F125" s="28" t="s">
        <v>10</v>
      </c>
      <c r="G125" s="28" t="s">
        <v>10</v>
      </c>
      <c r="H125" s="1">
        <f>SUM(H126:H167)</f>
        <v>0</v>
      </c>
      <c r="I125" s="1">
        <f>SUM(I126:I167)</f>
        <v>0</v>
      </c>
      <c r="J125" s="1">
        <f>SUM(J126:J167)</f>
        <v>0</v>
      </c>
      <c r="K125" s="8" t="s">
        <v>53</v>
      </c>
      <c r="L125" s="29" t="s">
        <v>53</v>
      </c>
      <c r="AI125" s="8" t="s">
        <v>53</v>
      </c>
      <c r="AS125" s="1">
        <f>SUM(AJ126:AJ167)</f>
        <v>0</v>
      </c>
      <c r="AT125" s="1">
        <f>SUM(AK126:AK167)</f>
        <v>0</v>
      </c>
      <c r="AU125" s="1">
        <f>SUM(AL126:AL167)</f>
        <v>0</v>
      </c>
    </row>
    <row r="126" spans="1:75" ht="13.5" customHeight="1" x14ac:dyDescent="0.25">
      <c r="A126" s="2" t="s">
        <v>389</v>
      </c>
      <c r="B126" s="3" t="s">
        <v>390</v>
      </c>
      <c r="C126" s="80" t="s">
        <v>391</v>
      </c>
      <c r="D126" s="75"/>
      <c r="E126" s="3" t="s">
        <v>68</v>
      </c>
      <c r="F126" s="23">
        <v>40</v>
      </c>
      <c r="G126" s="23">
        <v>0</v>
      </c>
      <c r="H126" s="23">
        <f t="shared" ref="H126:H167" si="178">F126*AO126</f>
        <v>0</v>
      </c>
      <c r="I126" s="23">
        <f t="shared" ref="I126:I167" si="179">F126*AP126</f>
        <v>0</v>
      </c>
      <c r="J126" s="23">
        <f t="shared" ref="J126:J167" si="180">F126*G126</f>
        <v>0</v>
      </c>
      <c r="K126" s="23">
        <v>1E-3</v>
      </c>
      <c r="L126" s="24">
        <v>1E-3</v>
      </c>
      <c r="Z126" s="23">
        <f t="shared" ref="Z126:Z167" si="181">IF(AQ126="5",BJ126,0)</f>
        <v>0</v>
      </c>
      <c r="AB126" s="23">
        <f t="shared" ref="AB126:AB167" si="182">IF(AQ126="1",BH126,0)</f>
        <v>0</v>
      </c>
      <c r="AC126" s="23">
        <f t="shared" ref="AC126:AC167" si="183">IF(AQ126="1",BI126,0)</f>
        <v>0</v>
      </c>
      <c r="AD126" s="23">
        <f t="shared" ref="AD126:AD167" si="184">IF(AQ126="7",BH126,0)</f>
        <v>0</v>
      </c>
      <c r="AE126" s="23">
        <f t="shared" ref="AE126:AE167" si="185">IF(AQ126="7",BI126,0)</f>
        <v>0</v>
      </c>
      <c r="AF126" s="23">
        <f t="shared" ref="AF126:AF167" si="186">IF(AQ126="2",BH126,0)</f>
        <v>0</v>
      </c>
      <c r="AG126" s="23">
        <f t="shared" ref="AG126:AG167" si="187">IF(AQ126="2",BI126,0)</f>
        <v>0</v>
      </c>
      <c r="AH126" s="23">
        <f t="shared" ref="AH126:AH167" si="188">IF(AQ126="0",BJ126,0)</f>
        <v>0</v>
      </c>
      <c r="AI126" s="8" t="s">
        <v>53</v>
      </c>
      <c r="AJ126" s="23">
        <f t="shared" ref="AJ126:AJ167" si="189">IF(AN126=0,J126,0)</f>
        <v>0</v>
      </c>
      <c r="AK126" s="23">
        <f t="shared" ref="AK126:AK167" si="190">IF(AN126=12,J126,0)</f>
        <v>0</v>
      </c>
      <c r="AL126" s="23">
        <f t="shared" ref="AL126:AL167" si="191">IF(AN126=21,J126,0)</f>
        <v>0</v>
      </c>
      <c r="AN126" s="23">
        <v>21</v>
      </c>
      <c r="AO126" s="23">
        <f>G126*0.379602683</f>
        <v>0</v>
      </c>
      <c r="AP126" s="23">
        <f>G126*(1-0.379602683)</f>
        <v>0</v>
      </c>
      <c r="AQ126" s="25" t="s">
        <v>94</v>
      </c>
      <c r="AV126" s="23">
        <f t="shared" ref="AV126:AV167" si="192">AW126+AX126</f>
        <v>0</v>
      </c>
      <c r="AW126" s="23">
        <f t="shared" ref="AW126:AW167" si="193">F126*AO126</f>
        <v>0</v>
      </c>
      <c r="AX126" s="23">
        <f t="shared" ref="AX126:AX167" si="194">F126*AP126</f>
        <v>0</v>
      </c>
      <c r="AY126" s="25" t="s">
        <v>392</v>
      </c>
      <c r="AZ126" s="25" t="s">
        <v>285</v>
      </c>
      <c r="BA126" s="8" t="s">
        <v>62</v>
      </c>
      <c r="BC126" s="23">
        <f t="shared" ref="BC126:BC167" si="195">AW126+AX126</f>
        <v>0</v>
      </c>
      <c r="BD126" s="23">
        <f t="shared" ref="BD126:BD167" si="196">G126/(100-BE126)*100</f>
        <v>0</v>
      </c>
      <c r="BE126" s="23">
        <v>0</v>
      </c>
      <c r="BF126" s="23">
        <f>126</f>
        <v>126</v>
      </c>
      <c r="BH126" s="23">
        <f t="shared" ref="BH126:BH167" si="197">F126*AO126</f>
        <v>0</v>
      </c>
      <c r="BI126" s="23">
        <f t="shared" ref="BI126:BI167" si="198">F126*AP126</f>
        <v>0</v>
      </c>
      <c r="BJ126" s="23">
        <f t="shared" ref="BJ126:BJ167" si="199">F126*G126</f>
        <v>0</v>
      </c>
      <c r="BK126" s="23"/>
      <c r="BL126" s="23">
        <v>734</v>
      </c>
      <c r="BW126" s="23">
        <v>21</v>
      </c>
    </row>
    <row r="127" spans="1:75" ht="13.5" customHeight="1" x14ac:dyDescent="0.25">
      <c r="A127" s="2" t="s">
        <v>393</v>
      </c>
      <c r="B127" s="3" t="s">
        <v>394</v>
      </c>
      <c r="C127" s="80" t="s">
        <v>395</v>
      </c>
      <c r="D127" s="75"/>
      <c r="E127" s="3" t="s">
        <v>68</v>
      </c>
      <c r="F127" s="23">
        <v>4</v>
      </c>
      <c r="G127" s="23">
        <v>0</v>
      </c>
      <c r="H127" s="23">
        <f t="shared" si="178"/>
        <v>0</v>
      </c>
      <c r="I127" s="23">
        <f t="shared" si="179"/>
        <v>0</v>
      </c>
      <c r="J127" s="23">
        <f t="shared" si="180"/>
        <v>0</v>
      </c>
      <c r="K127" s="23">
        <v>1.2999999999999999E-4</v>
      </c>
      <c r="L127" s="24">
        <v>4.1099999999999999E-3</v>
      </c>
      <c r="Z127" s="23">
        <f t="shared" si="181"/>
        <v>0</v>
      </c>
      <c r="AB127" s="23">
        <f t="shared" si="182"/>
        <v>0</v>
      </c>
      <c r="AC127" s="23">
        <f t="shared" si="183"/>
        <v>0</v>
      </c>
      <c r="AD127" s="23">
        <f t="shared" si="184"/>
        <v>0</v>
      </c>
      <c r="AE127" s="23">
        <f t="shared" si="185"/>
        <v>0</v>
      </c>
      <c r="AF127" s="23">
        <f t="shared" si="186"/>
        <v>0</v>
      </c>
      <c r="AG127" s="23">
        <f t="shared" si="187"/>
        <v>0</v>
      </c>
      <c r="AH127" s="23">
        <f t="shared" si="188"/>
        <v>0</v>
      </c>
      <c r="AI127" s="8" t="s">
        <v>53</v>
      </c>
      <c r="AJ127" s="23">
        <f t="shared" si="189"/>
        <v>0</v>
      </c>
      <c r="AK127" s="23">
        <f t="shared" si="190"/>
        <v>0</v>
      </c>
      <c r="AL127" s="23">
        <f t="shared" si="191"/>
        <v>0</v>
      </c>
      <c r="AN127" s="23">
        <v>21</v>
      </c>
      <c r="AO127" s="23">
        <f>G127*0.167731959</f>
        <v>0</v>
      </c>
      <c r="AP127" s="23">
        <f>G127*(1-0.167731959)</f>
        <v>0</v>
      </c>
      <c r="AQ127" s="25" t="s">
        <v>94</v>
      </c>
      <c r="AV127" s="23">
        <f t="shared" si="192"/>
        <v>0</v>
      </c>
      <c r="AW127" s="23">
        <f t="shared" si="193"/>
        <v>0</v>
      </c>
      <c r="AX127" s="23">
        <f t="shared" si="194"/>
        <v>0</v>
      </c>
      <c r="AY127" s="25" t="s">
        <v>392</v>
      </c>
      <c r="AZ127" s="25" t="s">
        <v>285</v>
      </c>
      <c r="BA127" s="8" t="s">
        <v>62</v>
      </c>
      <c r="BC127" s="23">
        <f t="shared" si="195"/>
        <v>0</v>
      </c>
      <c r="BD127" s="23">
        <f t="shared" si="196"/>
        <v>0</v>
      </c>
      <c r="BE127" s="23">
        <v>0</v>
      </c>
      <c r="BF127" s="23">
        <f>127</f>
        <v>127</v>
      </c>
      <c r="BH127" s="23">
        <f t="shared" si="197"/>
        <v>0</v>
      </c>
      <c r="BI127" s="23">
        <f t="shared" si="198"/>
        <v>0</v>
      </c>
      <c r="BJ127" s="23">
        <f t="shared" si="199"/>
        <v>0</v>
      </c>
      <c r="BK127" s="23"/>
      <c r="BL127" s="23">
        <v>734</v>
      </c>
      <c r="BW127" s="23">
        <v>21</v>
      </c>
    </row>
    <row r="128" spans="1:75" ht="13.5" customHeight="1" x14ac:dyDescent="0.25">
      <c r="A128" s="2" t="s">
        <v>396</v>
      </c>
      <c r="B128" s="3" t="s">
        <v>397</v>
      </c>
      <c r="C128" s="80" t="s">
        <v>398</v>
      </c>
      <c r="D128" s="75"/>
      <c r="E128" s="3" t="s">
        <v>68</v>
      </c>
      <c r="F128" s="23">
        <v>4</v>
      </c>
      <c r="G128" s="23">
        <v>0</v>
      </c>
      <c r="H128" s="23">
        <f t="shared" si="178"/>
        <v>0</v>
      </c>
      <c r="I128" s="23">
        <f t="shared" si="179"/>
        <v>0</v>
      </c>
      <c r="J128" s="23">
        <f t="shared" si="180"/>
        <v>0</v>
      </c>
      <c r="K128" s="23">
        <v>4.0000000000000003E-5</v>
      </c>
      <c r="L128" s="24">
        <v>4.8999999999999998E-4</v>
      </c>
      <c r="Z128" s="23">
        <f t="shared" si="181"/>
        <v>0</v>
      </c>
      <c r="AB128" s="23">
        <f t="shared" si="182"/>
        <v>0</v>
      </c>
      <c r="AC128" s="23">
        <f t="shared" si="183"/>
        <v>0</v>
      </c>
      <c r="AD128" s="23">
        <f t="shared" si="184"/>
        <v>0</v>
      </c>
      <c r="AE128" s="23">
        <f t="shared" si="185"/>
        <v>0</v>
      </c>
      <c r="AF128" s="23">
        <f t="shared" si="186"/>
        <v>0</v>
      </c>
      <c r="AG128" s="23">
        <f t="shared" si="187"/>
        <v>0</v>
      </c>
      <c r="AH128" s="23">
        <f t="shared" si="188"/>
        <v>0</v>
      </c>
      <c r="AI128" s="8" t="s">
        <v>53</v>
      </c>
      <c r="AJ128" s="23">
        <f t="shared" si="189"/>
        <v>0</v>
      </c>
      <c r="AK128" s="23">
        <f t="shared" si="190"/>
        <v>0</v>
      </c>
      <c r="AL128" s="23">
        <f t="shared" si="191"/>
        <v>0</v>
      </c>
      <c r="AN128" s="23">
        <v>21</v>
      </c>
      <c r="AO128" s="23">
        <f>G128*0.372397661</f>
        <v>0</v>
      </c>
      <c r="AP128" s="23">
        <f>G128*(1-0.372397661)</f>
        <v>0</v>
      </c>
      <c r="AQ128" s="25" t="s">
        <v>94</v>
      </c>
      <c r="AV128" s="23">
        <f t="shared" si="192"/>
        <v>0</v>
      </c>
      <c r="AW128" s="23">
        <f t="shared" si="193"/>
        <v>0</v>
      </c>
      <c r="AX128" s="23">
        <f t="shared" si="194"/>
        <v>0</v>
      </c>
      <c r="AY128" s="25" t="s">
        <v>392</v>
      </c>
      <c r="AZ128" s="25" t="s">
        <v>285</v>
      </c>
      <c r="BA128" s="8" t="s">
        <v>62</v>
      </c>
      <c r="BC128" s="23">
        <f t="shared" si="195"/>
        <v>0</v>
      </c>
      <c r="BD128" s="23">
        <f t="shared" si="196"/>
        <v>0</v>
      </c>
      <c r="BE128" s="23">
        <v>0</v>
      </c>
      <c r="BF128" s="23">
        <f>128</f>
        <v>128</v>
      </c>
      <c r="BH128" s="23">
        <f t="shared" si="197"/>
        <v>0</v>
      </c>
      <c r="BI128" s="23">
        <f t="shared" si="198"/>
        <v>0</v>
      </c>
      <c r="BJ128" s="23">
        <f t="shared" si="199"/>
        <v>0</v>
      </c>
      <c r="BK128" s="23"/>
      <c r="BL128" s="23">
        <v>734</v>
      </c>
      <c r="BW128" s="23">
        <v>21</v>
      </c>
    </row>
    <row r="129" spans="1:75" ht="13.5" customHeight="1" x14ac:dyDescent="0.25">
      <c r="A129" s="2" t="s">
        <v>399</v>
      </c>
      <c r="B129" s="3" t="s">
        <v>400</v>
      </c>
      <c r="C129" s="80" t="s">
        <v>401</v>
      </c>
      <c r="D129" s="75"/>
      <c r="E129" s="3" t="s">
        <v>68</v>
      </c>
      <c r="F129" s="23">
        <v>6</v>
      </c>
      <c r="G129" s="23">
        <v>0</v>
      </c>
      <c r="H129" s="23">
        <f t="shared" si="178"/>
        <v>0</v>
      </c>
      <c r="I129" s="23">
        <f t="shared" si="179"/>
        <v>0</v>
      </c>
      <c r="J129" s="23">
        <f t="shared" si="180"/>
        <v>0</v>
      </c>
      <c r="K129" s="23">
        <v>9.0000000000000006E-5</v>
      </c>
      <c r="L129" s="24">
        <v>5.4000000000000001E-4</v>
      </c>
      <c r="Z129" s="23">
        <f t="shared" si="181"/>
        <v>0</v>
      </c>
      <c r="AB129" s="23">
        <f t="shared" si="182"/>
        <v>0</v>
      </c>
      <c r="AC129" s="23">
        <f t="shared" si="183"/>
        <v>0</v>
      </c>
      <c r="AD129" s="23">
        <f t="shared" si="184"/>
        <v>0</v>
      </c>
      <c r="AE129" s="23">
        <f t="shared" si="185"/>
        <v>0</v>
      </c>
      <c r="AF129" s="23">
        <f t="shared" si="186"/>
        <v>0</v>
      </c>
      <c r="AG129" s="23">
        <f t="shared" si="187"/>
        <v>0</v>
      </c>
      <c r="AH129" s="23">
        <f t="shared" si="188"/>
        <v>0</v>
      </c>
      <c r="AI129" s="8" t="s">
        <v>53</v>
      </c>
      <c r="AJ129" s="23">
        <f t="shared" si="189"/>
        <v>0</v>
      </c>
      <c r="AK129" s="23">
        <f t="shared" si="190"/>
        <v>0</v>
      </c>
      <c r="AL129" s="23">
        <f t="shared" si="191"/>
        <v>0</v>
      </c>
      <c r="AN129" s="23">
        <v>21</v>
      </c>
      <c r="AO129" s="23">
        <f>G129*0.28746888</f>
        <v>0</v>
      </c>
      <c r="AP129" s="23">
        <f>G129*(1-0.28746888)</f>
        <v>0</v>
      </c>
      <c r="AQ129" s="25" t="s">
        <v>94</v>
      </c>
      <c r="AV129" s="23">
        <f t="shared" si="192"/>
        <v>0</v>
      </c>
      <c r="AW129" s="23">
        <f t="shared" si="193"/>
        <v>0</v>
      </c>
      <c r="AX129" s="23">
        <f t="shared" si="194"/>
        <v>0</v>
      </c>
      <c r="AY129" s="25" t="s">
        <v>392</v>
      </c>
      <c r="AZ129" s="25" t="s">
        <v>285</v>
      </c>
      <c r="BA129" s="8" t="s">
        <v>62</v>
      </c>
      <c r="BC129" s="23">
        <f t="shared" si="195"/>
        <v>0</v>
      </c>
      <c r="BD129" s="23">
        <f t="shared" si="196"/>
        <v>0</v>
      </c>
      <c r="BE129" s="23">
        <v>0</v>
      </c>
      <c r="BF129" s="23">
        <f>129</f>
        <v>129</v>
      </c>
      <c r="BH129" s="23">
        <f t="shared" si="197"/>
        <v>0</v>
      </c>
      <c r="BI129" s="23">
        <f t="shared" si="198"/>
        <v>0</v>
      </c>
      <c r="BJ129" s="23">
        <f t="shared" si="199"/>
        <v>0</v>
      </c>
      <c r="BK129" s="23"/>
      <c r="BL129" s="23">
        <v>734</v>
      </c>
      <c r="BW129" s="23">
        <v>21</v>
      </c>
    </row>
    <row r="130" spans="1:75" ht="13.5" customHeight="1" x14ac:dyDescent="0.25">
      <c r="A130" s="2" t="s">
        <v>402</v>
      </c>
      <c r="B130" s="3" t="s">
        <v>403</v>
      </c>
      <c r="C130" s="80" t="s">
        <v>404</v>
      </c>
      <c r="D130" s="75"/>
      <c r="E130" s="3" t="s">
        <v>68</v>
      </c>
      <c r="F130" s="23">
        <v>24</v>
      </c>
      <c r="G130" s="23">
        <v>0</v>
      </c>
      <c r="H130" s="23">
        <f t="shared" si="178"/>
        <v>0</v>
      </c>
      <c r="I130" s="23">
        <f t="shared" si="179"/>
        <v>0</v>
      </c>
      <c r="J130" s="23">
        <f t="shared" si="180"/>
        <v>0</v>
      </c>
      <c r="K130" s="23">
        <v>1.2999999999999999E-4</v>
      </c>
      <c r="L130" s="24">
        <v>1.23E-3</v>
      </c>
      <c r="Z130" s="23">
        <f t="shared" si="181"/>
        <v>0</v>
      </c>
      <c r="AB130" s="23">
        <f t="shared" si="182"/>
        <v>0</v>
      </c>
      <c r="AC130" s="23">
        <f t="shared" si="183"/>
        <v>0</v>
      </c>
      <c r="AD130" s="23">
        <f t="shared" si="184"/>
        <v>0</v>
      </c>
      <c r="AE130" s="23">
        <f t="shared" si="185"/>
        <v>0</v>
      </c>
      <c r="AF130" s="23">
        <f t="shared" si="186"/>
        <v>0</v>
      </c>
      <c r="AG130" s="23">
        <f t="shared" si="187"/>
        <v>0</v>
      </c>
      <c r="AH130" s="23">
        <f t="shared" si="188"/>
        <v>0</v>
      </c>
      <c r="AI130" s="8" t="s">
        <v>53</v>
      </c>
      <c r="AJ130" s="23">
        <f t="shared" si="189"/>
        <v>0</v>
      </c>
      <c r="AK130" s="23">
        <f t="shared" si="190"/>
        <v>0</v>
      </c>
      <c r="AL130" s="23">
        <f t="shared" si="191"/>
        <v>0</v>
      </c>
      <c r="AN130" s="23">
        <v>21</v>
      </c>
      <c r="AO130" s="23">
        <f>G130*0.290718563</f>
        <v>0</v>
      </c>
      <c r="AP130" s="23">
        <f>G130*(1-0.290718563)</f>
        <v>0</v>
      </c>
      <c r="AQ130" s="25" t="s">
        <v>94</v>
      </c>
      <c r="AV130" s="23">
        <f t="shared" si="192"/>
        <v>0</v>
      </c>
      <c r="AW130" s="23">
        <f t="shared" si="193"/>
        <v>0</v>
      </c>
      <c r="AX130" s="23">
        <f t="shared" si="194"/>
        <v>0</v>
      </c>
      <c r="AY130" s="25" t="s">
        <v>392</v>
      </c>
      <c r="AZ130" s="25" t="s">
        <v>285</v>
      </c>
      <c r="BA130" s="8" t="s">
        <v>62</v>
      </c>
      <c r="BC130" s="23">
        <f t="shared" si="195"/>
        <v>0</v>
      </c>
      <c r="BD130" s="23">
        <f t="shared" si="196"/>
        <v>0</v>
      </c>
      <c r="BE130" s="23">
        <v>0</v>
      </c>
      <c r="BF130" s="23">
        <f>130</f>
        <v>130</v>
      </c>
      <c r="BH130" s="23">
        <f t="shared" si="197"/>
        <v>0</v>
      </c>
      <c r="BI130" s="23">
        <f t="shared" si="198"/>
        <v>0</v>
      </c>
      <c r="BJ130" s="23">
        <f t="shared" si="199"/>
        <v>0</v>
      </c>
      <c r="BK130" s="23"/>
      <c r="BL130" s="23">
        <v>734</v>
      </c>
      <c r="BW130" s="23">
        <v>21</v>
      </c>
    </row>
    <row r="131" spans="1:75" ht="13.5" customHeight="1" x14ac:dyDescent="0.25">
      <c r="A131" s="2" t="s">
        <v>405</v>
      </c>
      <c r="B131" s="3" t="s">
        <v>406</v>
      </c>
      <c r="C131" s="80" t="s">
        <v>407</v>
      </c>
      <c r="D131" s="75"/>
      <c r="E131" s="3" t="s">
        <v>68</v>
      </c>
      <c r="F131" s="23">
        <v>24</v>
      </c>
      <c r="G131" s="23">
        <v>0</v>
      </c>
      <c r="H131" s="23">
        <f t="shared" si="178"/>
        <v>0</v>
      </c>
      <c r="I131" s="23">
        <f t="shared" si="179"/>
        <v>0</v>
      </c>
      <c r="J131" s="23">
        <f t="shared" si="180"/>
        <v>0</v>
      </c>
      <c r="K131" s="23">
        <v>2.1000000000000001E-4</v>
      </c>
      <c r="L131" s="24">
        <v>3.7100000000000002E-3</v>
      </c>
      <c r="Z131" s="23">
        <f t="shared" si="181"/>
        <v>0</v>
      </c>
      <c r="AB131" s="23">
        <f t="shared" si="182"/>
        <v>0</v>
      </c>
      <c r="AC131" s="23">
        <f t="shared" si="183"/>
        <v>0</v>
      </c>
      <c r="AD131" s="23">
        <f t="shared" si="184"/>
        <v>0</v>
      </c>
      <c r="AE131" s="23">
        <f t="shared" si="185"/>
        <v>0</v>
      </c>
      <c r="AF131" s="23">
        <f t="shared" si="186"/>
        <v>0</v>
      </c>
      <c r="AG131" s="23">
        <f t="shared" si="187"/>
        <v>0</v>
      </c>
      <c r="AH131" s="23">
        <f t="shared" si="188"/>
        <v>0</v>
      </c>
      <c r="AI131" s="8" t="s">
        <v>53</v>
      </c>
      <c r="AJ131" s="23">
        <f t="shared" si="189"/>
        <v>0</v>
      </c>
      <c r="AK131" s="23">
        <f t="shared" si="190"/>
        <v>0</v>
      </c>
      <c r="AL131" s="23">
        <f t="shared" si="191"/>
        <v>0</v>
      </c>
      <c r="AN131" s="23">
        <v>21</v>
      </c>
      <c r="AO131" s="23">
        <f>G131*0.289357798</f>
        <v>0</v>
      </c>
      <c r="AP131" s="23">
        <f>G131*(1-0.289357798)</f>
        <v>0</v>
      </c>
      <c r="AQ131" s="25" t="s">
        <v>94</v>
      </c>
      <c r="AV131" s="23">
        <f t="shared" si="192"/>
        <v>0</v>
      </c>
      <c r="AW131" s="23">
        <f t="shared" si="193"/>
        <v>0</v>
      </c>
      <c r="AX131" s="23">
        <f t="shared" si="194"/>
        <v>0</v>
      </c>
      <c r="AY131" s="25" t="s">
        <v>392</v>
      </c>
      <c r="AZ131" s="25" t="s">
        <v>285</v>
      </c>
      <c r="BA131" s="8" t="s">
        <v>62</v>
      </c>
      <c r="BC131" s="23">
        <f t="shared" si="195"/>
        <v>0</v>
      </c>
      <c r="BD131" s="23">
        <f t="shared" si="196"/>
        <v>0</v>
      </c>
      <c r="BE131" s="23">
        <v>0</v>
      </c>
      <c r="BF131" s="23">
        <f>131</f>
        <v>131</v>
      </c>
      <c r="BH131" s="23">
        <f t="shared" si="197"/>
        <v>0</v>
      </c>
      <c r="BI131" s="23">
        <f t="shared" si="198"/>
        <v>0</v>
      </c>
      <c r="BJ131" s="23">
        <f t="shared" si="199"/>
        <v>0</v>
      </c>
      <c r="BK131" s="23"/>
      <c r="BL131" s="23">
        <v>734</v>
      </c>
      <c r="BW131" s="23">
        <v>21</v>
      </c>
    </row>
    <row r="132" spans="1:75" ht="13.5" customHeight="1" x14ac:dyDescent="0.25">
      <c r="A132" s="2" t="s">
        <v>408</v>
      </c>
      <c r="B132" s="3" t="s">
        <v>409</v>
      </c>
      <c r="C132" s="80" t="s">
        <v>410</v>
      </c>
      <c r="D132" s="75"/>
      <c r="E132" s="3" t="s">
        <v>68</v>
      </c>
      <c r="F132" s="23">
        <v>4</v>
      </c>
      <c r="G132" s="23">
        <v>0</v>
      </c>
      <c r="H132" s="23">
        <f t="shared" si="178"/>
        <v>0</v>
      </c>
      <c r="I132" s="23">
        <f t="shared" si="179"/>
        <v>0</v>
      </c>
      <c r="J132" s="23">
        <f t="shared" si="180"/>
        <v>0</v>
      </c>
      <c r="K132" s="23">
        <v>1.6000000000000001E-4</v>
      </c>
      <c r="L132" s="24">
        <v>5.13E-3</v>
      </c>
      <c r="Z132" s="23">
        <f t="shared" si="181"/>
        <v>0</v>
      </c>
      <c r="AB132" s="23">
        <f t="shared" si="182"/>
        <v>0</v>
      </c>
      <c r="AC132" s="23">
        <f t="shared" si="183"/>
        <v>0</v>
      </c>
      <c r="AD132" s="23">
        <f t="shared" si="184"/>
        <v>0</v>
      </c>
      <c r="AE132" s="23">
        <f t="shared" si="185"/>
        <v>0</v>
      </c>
      <c r="AF132" s="23">
        <f t="shared" si="186"/>
        <v>0</v>
      </c>
      <c r="AG132" s="23">
        <f t="shared" si="187"/>
        <v>0</v>
      </c>
      <c r="AH132" s="23">
        <f t="shared" si="188"/>
        <v>0</v>
      </c>
      <c r="AI132" s="8" t="s">
        <v>53</v>
      </c>
      <c r="AJ132" s="23">
        <f t="shared" si="189"/>
        <v>0</v>
      </c>
      <c r="AK132" s="23">
        <f t="shared" si="190"/>
        <v>0</v>
      </c>
      <c r="AL132" s="23">
        <f t="shared" si="191"/>
        <v>0</v>
      </c>
      <c r="AN132" s="23">
        <v>21</v>
      </c>
      <c r="AO132" s="23">
        <f>G132*0.166704225</f>
        <v>0</v>
      </c>
      <c r="AP132" s="23">
        <f>G132*(1-0.166704225)</f>
        <v>0</v>
      </c>
      <c r="AQ132" s="25" t="s">
        <v>94</v>
      </c>
      <c r="AV132" s="23">
        <f t="shared" si="192"/>
        <v>0</v>
      </c>
      <c r="AW132" s="23">
        <f t="shared" si="193"/>
        <v>0</v>
      </c>
      <c r="AX132" s="23">
        <f t="shared" si="194"/>
        <v>0</v>
      </c>
      <c r="AY132" s="25" t="s">
        <v>392</v>
      </c>
      <c r="AZ132" s="25" t="s">
        <v>285</v>
      </c>
      <c r="BA132" s="8" t="s">
        <v>62</v>
      </c>
      <c r="BC132" s="23">
        <f t="shared" si="195"/>
        <v>0</v>
      </c>
      <c r="BD132" s="23">
        <f t="shared" si="196"/>
        <v>0</v>
      </c>
      <c r="BE132" s="23">
        <v>0</v>
      </c>
      <c r="BF132" s="23">
        <f>132</f>
        <v>132</v>
      </c>
      <c r="BH132" s="23">
        <f t="shared" si="197"/>
        <v>0</v>
      </c>
      <c r="BI132" s="23">
        <f t="shared" si="198"/>
        <v>0</v>
      </c>
      <c r="BJ132" s="23">
        <f t="shared" si="199"/>
        <v>0</v>
      </c>
      <c r="BK132" s="23"/>
      <c r="BL132" s="23">
        <v>734</v>
      </c>
      <c r="BW132" s="23">
        <v>21</v>
      </c>
    </row>
    <row r="133" spans="1:75" ht="13.5" customHeight="1" x14ac:dyDescent="0.25">
      <c r="A133" s="2" t="s">
        <v>411</v>
      </c>
      <c r="B133" s="3" t="s">
        <v>412</v>
      </c>
      <c r="C133" s="80" t="s">
        <v>413</v>
      </c>
      <c r="D133" s="75"/>
      <c r="E133" s="3" t="s">
        <v>68</v>
      </c>
      <c r="F133" s="23">
        <v>2</v>
      </c>
      <c r="G133" s="23">
        <v>0</v>
      </c>
      <c r="H133" s="23">
        <f t="shared" si="178"/>
        <v>0</v>
      </c>
      <c r="I133" s="23">
        <f t="shared" si="179"/>
        <v>0</v>
      </c>
      <c r="J133" s="23">
        <f t="shared" si="180"/>
        <v>0</v>
      </c>
      <c r="K133" s="23">
        <v>1.0399999999999999E-3</v>
      </c>
      <c r="L133" s="24">
        <v>1.0399999999999999E-3</v>
      </c>
      <c r="Z133" s="23">
        <f t="shared" si="181"/>
        <v>0</v>
      </c>
      <c r="AB133" s="23">
        <f t="shared" si="182"/>
        <v>0</v>
      </c>
      <c r="AC133" s="23">
        <f t="shared" si="183"/>
        <v>0</v>
      </c>
      <c r="AD133" s="23">
        <f t="shared" si="184"/>
        <v>0</v>
      </c>
      <c r="AE133" s="23">
        <f t="shared" si="185"/>
        <v>0</v>
      </c>
      <c r="AF133" s="23">
        <f t="shared" si="186"/>
        <v>0</v>
      </c>
      <c r="AG133" s="23">
        <f t="shared" si="187"/>
        <v>0</v>
      </c>
      <c r="AH133" s="23">
        <f t="shared" si="188"/>
        <v>0</v>
      </c>
      <c r="AI133" s="8" t="s">
        <v>53</v>
      </c>
      <c r="AJ133" s="23">
        <f t="shared" si="189"/>
        <v>0</v>
      </c>
      <c r="AK133" s="23">
        <f t="shared" si="190"/>
        <v>0</v>
      </c>
      <c r="AL133" s="23">
        <f t="shared" si="191"/>
        <v>0</v>
      </c>
      <c r="AN133" s="23">
        <v>21</v>
      </c>
      <c r="AO133" s="23">
        <f>G133*0.811303555</f>
        <v>0</v>
      </c>
      <c r="AP133" s="23">
        <f>G133*(1-0.811303555)</f>
        <v>0</v>
      </c>
      <c r="AQ133" s="25" t="s">
        <v>94</v>
      </c>
      <c r="AV133" s="23">
        <f t="shared" si="192"/>
        <v>0</v>
      </c>
      <c r="AW133" s="23">
        <f t="shared" si="193"/>
        <v>0</v>
      </c>
      <c r="AX133" s="23">
        <f t="shared" si="194"/>
        <v>0</v>
      </c>
      <c r="AY133" s="25" t="s">
        <v>392</v>
      </c>
      <c r="AZ133" s="25" t="s">
        <v>285</v>
      </c>
      <c r="BA133" s="8" t="s">
        <v>62</v>
      </c>
      <c r="BC133" s="23">
        <f t="shared" si="195"/>
        <v>0</v>
      </c>
      <c r="BD133" s="23">
        <f t="shared" si="196"/>
        <v>0</v>
      </c>
      <c r="BE133" s="23">
        <v>0</v>
      </c>
      <c r="BF133" s="23">
        <f>133</f>
        <v>133</v>
      </c>
      <c r="BH133" s="23">
        <f t="shared" si="197"/>
        <v>0</v>
      </c>
      <c r="BI133" s="23">
        <f t="shared" si="198"/>
        <v>0</v>
      </c>
      <c r="BJ133" s="23">
        <f t="shared" si="199"/>
        <v>0</v>
      </c>
      <c r="BK133" s="23"/>
      <c r="BL133" s="23">
        <v>734</v>
      </c>
      <c r="BW133" s="23">
        <v>21</v>
      </c>
    </row>
    <row r="134" spans="1:75" ht="13.5" customHeight="1" x14ac:dyDescent="0.25">
      <c r="A134" s="2" t="s">
        <v>414</v>
      </c>
      <c r="B134" s="3" t="s">
        <v>415</v>
      </c>
      <c r="C134" s="80" t="s">
        <v>416</v>
      </c>
      <c r="D134" s="75"/>
      <c r="E134" s="3" t="s">
        <v>68</v>
      </c>
      <c r="F134" s="23">
        <v>12</v>
      </c>
      <c r="G134" s="23">
        <v>0</v>
      </c>
      <c r="H134" s="23">
        <f t="shared" si="178"/>
        <v>0</v>
      </c>
      <c r="I134" s="23">
        <f t="shared" si="179"/>
        <v>0</v>
      </c>
      <c r="J134" s="23">
        <f t="shared" si="180"/>
        <v>0</v>
      </c>
      <c r="K134" s="23">
        <v>1E-4</v>
      </c>
      <c r="L134" s="24">
        <v>1E-4</v>
      </c>
      <c r="Z134" s="23">
        <f t="shared" si="181"/>
        <v>0</v>
      </c>
      <c r="AB134" s="23">
        <f t="shared" si="182"/>
        <v>0</v>
      </c>
      <c r="AC134" s="23">
        <f t="shared" si="183"/>
        <v>0</v>
      </c>
      <c r="AD134" s="23">
        <f t="shared" si="184"/>
        <v>0</v>
      </c>
      <c r="AE134" s="23">
        <f t="shared" si="185"/>
        <v>0</v>
      </c>
      <c r="AF134" s="23">
        <f t="shared" si="186"/>
        <v>0</v>
      </c>
      <c r="AG134" s="23">
        <f t="shared" si="187"/>
        <v>0</v>
      </c>
      <c r="AH134" s="23">
        <f t="shared" si="188"/>
        <v>0</v>
      </c>
      <c r="AI134" s="8" t="s">
        <v>53</v>
      </c>
      <c r="AJ134" s="23">
        <f t="shared" si="189"/>
        <v>0</v>
      </c>
      <c r="AK134" s="23">
        <f t="shared" si="190"/>
        <v>0</v>
      </c>
      <c r="AL134" s="23">
        <f t="shared" si="191"/>
        <v>0</v>
      </c>
      <c r="AN134" s="23">
        <v>21</v>
      </c>
      <c r="AO134" s="23">
        <f>G134*0.838705576</f>
        <v>0</v>
      </c>
      <c r="AP134" s="23">
        <f>G134*(1-0.838705576)</f>
        <v>0</v>
      </c>
      <c r="AQ134" s="25" t="s">
        <v>94</v>
      </c>
      <c r="AV134" s="23">
        <f t="shared" si="192"/>
        <v>0</v>
      </c>
      <c r="AW134" s="23">
        <f t="shared" si="193"/>
        <v>0</v>
      </c>
      <c r="AX134" s="23">
        <f t="shared" si="194"/>
        <v>0</v>
      </c>
      <c r="AY134" s="25" t="s">
        <v>392</v>
      </c>
      <c r="AZ134" s="25" t="s">
        <v>285</v>
      </c>
      <c r="BA134" s="8" t="s">
        <v>62</v>
      </c>
      <c r="BC134" s="23">
        <f t="shared" si="195"/>
        <v>0</v>
      </c>
      <c r="BD134" s="23">
        <f t="shared" si="196"/>
        <v>0</v>
      </c>
      <c r="BE134" s="23">
        <v>0</v>
      </c>
      <c r="BF134" s="23">
        <f>134</f>
        <v>134</v>
      </c>
      <c r="BH134" s="23">
        <f t="shared" si="197"/>
        <v>0</v>
      </c>
      <c r="BI134" s="23">
        <f t="shared" si="198"/>
        <v>0</v>
      </c>
      <c r="BJ134" s="23">
        <f t="shared" si="199"/>
        <v>0</v>
      </c>
      <c r="BK134" s="23"/>
      <c r="BL134" s="23">
        <v>734</v>
      </c>
      <c r="BW134" s="23">
        <v>21</v>
      </c>
    </row>
    <row r="135" spans="1:75" ht="13.5" customHeight="1" x14ac:dyDescent="0.25">
      <c r="A135" s="2" t="s">
        <v>417</v>
      </c>
      <c r="B135" s="3" t="s">
        <v>418</v>
      </c>
      <c r="C135" s="80" t="s">
        <v>419</v>
      </c>
      <c r="D135" s="75"/>
      <c r="E135" s="3" t="s">
        <v>68</v>
      </c>
      <c r="F135" s="23">
        <v>16</v>
      </c>
      <c r="G135" s="23">
        <v>0</v>
      </c>
      <c r="H135" s="23">
        <f t="shared" si="178"/>
        <v>0</v>
      </c>
      <c r="I135" s="23">
        <f t="shared" si="179"/>
        <v>0</v>
      </c>
      <c r="J135" s="23">
        <f t="shared" si="180"/>
        <v>0</v>
      </c>
      <c r="K135" s="23">
        <v>2.4000000000000001E-4</v>
      </c>
      <c r="L135" s="24">
        <v>2.4000000000000001E-4</v>
      </c>
      <c r="Z135" s="23">
        <f t="shared" si="181"/>
        <v>0</v>
      </c>
      <c r="AB135" s="23">
        <f t="shared" si="182"/>
        <v>0</v>
      </c>
      <c r="AC135" s="23">
        <f t="shared" si="183"/>
        <v>0</v>
      </c>
      <c r="AD135" s="23">
        <f t="shared" si="184"/>
        <v>0</v>
      </c>
      <c r="AE135" s="23">
        <f t="shared" si="185"/>
        <v>0</v>
      </c>
      <c r="AF135" s="23">
        <f t="shared" si="186"/>
        <v>0</v>
      </c>
      <c r="AG135" s="23">
        <f t="shared" si="187"/>
        <v>0</v>
      </c>
      <c r="AH135" s="23">
        <f t="shared" si="188"/>
        <v>0</v>
      </c>
      <c r="AI135" s="8" t="s">
        <v>53</v>
      </c>
      <c r="AJ135" s="23">
        <f t="shared" si="189"/>
        <v>0</v>
      </c>
      <c r="AK135" s="23">
        <f t="shared" si="190"/>
        <v>0</v>
      </c>
      <c r="AL135" s="23">
        <f t="shared" si="191"/>
        <v>0</v>
      </c>
      <c r="AN135" s="23">
        <v>21</v>
      </c>
      <c r="AO135" s="23">
        <f>G135*0.874442953</f>
        <v>0</v>
      </c>
      <c r="AP135" s="23">
        <f>G135*(1-0.874442953)</f>
        <v>0</v>
      </c>
      <c r="AQ135" s="25" t="s">
        <v>94</v>
      </c>
      <c r="AV135" s="23">
        <f t="shared" si="192"/>
        <v>0</v>
      </c>
      <c r="AW135" s="23">
        <f t="shared" si="193"/>
        <v>0</v>
      </c>
      <c r="AX135" s="23">
        <f t="shared" si="194"/>
        <v>0</v>
      </c>
      <c r="AY135" s="25" t="s">
        <v>392</v>
      </c>
      <c r="AZ135" s="25" t="s">
        <v>285</v>
      </c>
      <c r="BA135" s="8" t="s">
        <v>62</v>
      </c>
      <c r="BC135" s="23">
        <f t="shared" si="195"/>
        <v>0</v>
      </c>
      <c r="BD135" s="23">
        <f t="shared" si="196"/>
        <v>0</v>
      </c>
      <c r="BE135" s="23">
        <v>0</v>
      </c>
      <c r="BF135" s="23">
        <f>135</f>
        <v>135</v>
      </c>
      <c r="BH135" s="23">
        <f t="shared" si="197"/>
        <v>0</v>
      </c>
      <c r="BI135" s="23">
        <f t="shared" si="198"/>
        <v>0</v>
      </c>
      <c r="BJ135" s="23">
        <f t="shared" si="199"/>
        <v>0</v>
      </c>
      <c r="BK135" s="23"/>
      <c r="BL135" s="23">
        <v>734</v>
      </c>
      <c r="BW135" s="23">
        <v>21</v>
      </c>
    </row>
    <row r="136" spans="1:75" ht="13.5" customHeight="1" x14ac:dyDescent="0.25">
      <c r="A136" s="2" t="s">
        <v>420</v>
      </c>
      <c r="B136" s="3" t="s">
        <v>421</v>
      </c>
      <c r="C136" s="80" t="s">
        <v>422</v>
      </c>
      <c r="D136" s="75"/>
      <c r="E136" s="3" t="s">
        <v>68</v>
      </c>
      <c r="F136" s="23">
        <v>4</v>
      </c>
      <c r="G136" s="23">
        <v>0</v>
      </c>
      <c r="H136" s="23">
        <f t="shared" si="178"/>
        <v>0</v>
      </c>
      <c r="I136" s="23">
        <f t="shared" si="179"/>
        <v>0</v>
      </c>
      <c r="J136" s="23">
        <f t="shared" si="180"/>
        <v>0</v>
      </c>
      <c r="K136" s="23">
        <v>2.7299999999999998E-3</v>
      </c>
      <c r="L136" s="24">
        <v>2.7299999999999998E-3</v>
      </c>
      <c r="Z136" s="23">
        <f t="shared" si="181"/>
        <v>0</v>
      </c>
      <c r="AB136" s="23">
        <f t="shared" si="182"/>
        <v>0</v>
      </c>
      <c r="AC136" s="23">
        <f t="shared" si="183"/>
        <v>0</v>
      </c>
      <c r="AD136" s="23">
        <f t="shared" si="184"/>
        <v>0</v>
      </c>
      <c r="AE136" s="23">
        <f t="shared" si="185"/>
        <v>0</v>
      </c>
      <c r="AF136" s="23">
        <f t="shared" si="186"/>
        <v>0</v>
      </c>
      <c r="AG136" s="23">
        <f t="shared" si="187"/>
        <v>0</v>
      </c>
      <c r="AH136" s="23">
        <f t="shared" si="188"/>
        <v>0</v>
      </c>
      <c r="AI136" s="8" t="s">
        <v>53</v>
      </c>
      <c r="AJ136" s="23">
        <f t="shared" si="189"/>
        <v>0</v>
      </c>
      <c r="AK136" s="23">
        <f t="shared" si="190"/>
        <v>0</v>
      </c>
      <c r="AL136" s="23">
        <f t="shared" si="191"/>
        <v>0</v>
      </c>
      <c r="AN136" s="23">
        <v>21</v>
      </c>
      <c r="AO136" s="23">
        <f>G136*0.858685315</f>
        <v>0</v>
      </c>
      <c r="AP136" s="23">
        <f>G136*(1-0.858685315)</f>
        <v>0</v>
      </c>
      <c r="AQ136" s="25" t="s">
        <v>94</v>
      </c>
      <c r="AV136" s="23">
        <f t="shared" si="192"/>
        <v>0</v>
      </c>
      <c r="AW136" s="23">
        <f t="shared" si="193"/>
        <v>0</v>
      </c>
      <c r="AX136" s="23">
        <f t="shared" si="194"/>
        <v>0</v>
      </c>
      <c r="AY136" s="25" t="s">
        <v>392</v>
      </c>
      <c r="AZ136" s="25" t="s">
        <v>285</v>
      </c>
      <c r="BA136" s="8" t="s">
        <v>62</v>
      </c>
      <c r="BC136" s="23">
        <f t="shared" si="195"/>
        <v>0</v>
      </c>
      <c r="BD136" s="23">
        <f t="shared" si="196"/>
        <v>0</v>
      </c>
      <c r="BE136" s="23">
        <v>0</v>
      </c>
      <c r="BF136" s="23">
        <f>136</f>
        <v>136</v>
      </c>
      <c r="BH136" s="23">
        <f t="shared" si="197"/>
        <v>0</v>
      </c>
      <c r="BI136" s="23">
        <f t="shared" si="198"/>
        <v>0</v>
      </c>
      <c r="BJ136" s="23">
        <f t="shared" si="199"/>
        <v>0</v>
      </c>
      <c r="BK136" s="23"/>
      <c r="BL136" s="23">
        <v>734</v>
      </c>
      <c r="BW136" s="23">
        <v>21</v>
      </c>
    </row>
    <row r="137" spans="1:75" ht="13.5" customHeight="1" x14ac:dyDescent="0.25">
      <c r="A137" s="2" t="s">
        <v>423</v>
      </c>
      <c r="B137" s="3" t="s">
        <v>424</v>
      </c>
      <c r="C137" s="80" t="s">
        <v>425</v>
      </c>
      <c r="D137" s="75"/>
      <c r="E137" s="3" t="s">
        <v>68</v>
      </c>
      <c r="F137" s="23">
        <v>10</v>
      </c>
      <c r="G137" s="23">
        <v>0</v>
      </c>
      <c r="H137" s="23">
        <f t="shared" si="178"/>
        <v>0</v>
      </c>
      <c r="I137" s="23">
        <f t="shared" si="179"/>
        <v>0</v>
      </c>
      <c r="J137" s="23">
        <f t="shared" si="180"/>
        <v>0</v>
      </c>
      <c r="K137" s="23">
        <v>1.1800000000000001E-3</v>
      </c>
      <c r="L137" s="24">
        <v>1.1800000000000001E-3</v>
      </c>
      <c r="Z137" s="23">
        <f t="shared" si="181"/>
        <v>0</v>
      </c>
      <c r="AB137" s="23">
        <f t="shared" si="182"/>
        <v>0</v>
      </c>
      <c r="AC137" s="23">
        <f t="shared" si="183"/>
        <v>0</v>
      </c>
      <c r="AD137" s="23">
        <f t="shared" si="184"/>
        <v>0</v>
      </c>
      <c r="AE137" s="23">
        <f t="shared" si="185"/>
        <v>0</v>
      </c>
      <c r="AF137" s="23">
        <f t="shared" si="186"/>
        <v>0</v>
      </c>
      <c r="AG137" s="23">
        <f t="shared" si="187"/>
        <v>0</v>
      </c>
      <c r="AH137" s="23">
        <f t="shared" si="188"/>
        <v>0</v>
      </c>
      <c r="AI137" s="8" t="s">
        <v>53</v>
      </c>
      <c r="AJ137" s="23">
        <f t="shared" si="189"/>
        <v>0</v>
      </c>
      <c r="AK137" s="23">
        <f t="shared" si="190"/>
        <v>0</v>
      </c>
      <c r="AL137" s="23">
        <f t="shared" si="191"/>
        <v>0</v>
      </c>
      <c r="AN137" s="23">
        <v>21</v>
      </c>
      <c r="AO137" s="23">
        <f>G137*0.772927757</f>
        <v>0</v>
      </c>
      <c r="AP137" s="23">
        <f>G137*(1-0.772927757)</f>
        <v>0</v>
      </c>
      <c r="AQ137" s="25" t="s">
        <v>94</v>
      </c>
      <c r="AV137" s="23">
        <f t="shared" si="192"/>
        <v>0</v>
      </c>
      <c r="AW137" s="23">
        <f t="shared" si="193"/>
        <v>0</v>
      </c>
      <c r="AX137" s="23">
        <f t="shared" si="194"/>
        <v>0</v>
      </c>
      <c r="AY137" s="25" t="s">
        <v>392</v>
      </c>
      <c r="AZ137" s="25" t="s">
        <v>285</v>
      </c>
      <c r="BA137" s="8" t="s">
        <v>62</v>
      </c>
      <c r="BC137" s="23">
        <f t="shared" si="195"/>
        <v>0</v>
      </c>
      <c r="BD137" s="23">
        <f t="shared" si="196"/>
        <v>0</v>
      </c>
      <c r="BE137" s="23">
        <v>0</v>
      </c>
      <c r="BF137" s="23">
        <f>137</f>
        <v>137</v>
      </c>
      <c r="BH137" s="23">
        <f t="shared" si="197"/>
        <v>0</v>
      </c>
      <c r="BI137" s="23">
        <f t="shared" si="198"/>
        <v>0</v>
      </c>
      <c r="BJ137" s="23">
        <f t="shared" si="199"/>
        <v>0</v>
      </c>
      <c r="BK137" s="23"/>
      <c r="BL137" s="23">
        <v>734</v>
      </c>
      <c r="BW137" s="23">
        <v>21</v>
      </c>
    </row>
    <row r="138" spans="1:75" ht="13.5" customHeight="1" x14ac:dyDescent="0.25">
      <c r="A138" s="2" t="s">
        <v>426</v>
      </c>
      <c r="B138" s="3" t="s">
        <v>427</v>
      </c>
      <c r="C138" s="80" t="s">
        <v>428</v>
      </c>
      <c r="D138" s="75"/>
      <c r="E138" s="3" t="s">
        <v>68</v>
      </c>
      <c r="F138" s="23">
        <v>14</v>
      </c>
      <c r="G138" s="23">
        <v>0</v>
      </c>
      <c r="H138" s="23">
        <f t="shared" si="178"/>
        <v>0</v>
      </c>
      <c r="I138" s="23">
        <f t="shared" si="179"/>
        <v>0</v>
      </c>
      <c r="J138" s="23">
        <f t="shared" si="180"/>
        <v>0</v>
      </c>
      <c r="K138" s="23">
        <v>8.0999999999999996E-4</v>
      </c>
      <c r="L138" s="24">
        <v>8.0999999999999996E-4</v>
      </c>
      <c r="Z138" s="23">
        <f t="shared" si="181"/>
        <v>0</v>
      </c>
      <c r="AB138" s="23">
        <f t="shared" si="182"/>
        <v>0</v>
      </c>
      <c r="AC138" s="23">
        <f t="shared" si="183"/>
        <v>0</v>
      </c>
      <c r="AD138" s="23">
        <f t="shared" si="184"/>
        <v>0</v>
      </c>
      <c r="AE138" s="23">
        <f t="shared" si="185"/>
        <v>0</v>
      </c>
      <c r="AF138" s="23">
        <f t="shared" si="186"/>
        <v>0</v>
      </c>
      <c r="AG138" s="23">
        <f t="shared" si="187"/>
        <v>0</v>
      </c>
      <c r="AH138" s="23">
        <f t="shared" si="188"/>
        <v>0</v>
      </c>
      <c r="AI138" s="8" t="s">
        <v>53</v>
      </c>
      <c r="AJ138" s="23">
        <f t="shared" si="189"/>
        <v>0</v>
      </c>
      <c r="AK138" s="23">
        <f t="shared" si="190"/>
        <v>0</v>
      </c>
      <c r="AL138" s="23">
        <f t="shared" si="191"/>
        <v>0</v>
      </c>
      <c r="AN138" s="23">
        <v>21</v>
      </c>
      <c r="AO138" s="23">
        <f>G138*0.738758256</f>
        <v>0</v>
      </c>
      <c r="AP138" s="23">
        <f>G138*(1-0.738758256)</f>
        <v>0</v>
      </c>
      <c r="AQ138" s="25" t="s">
        <v>94</v>
      </c>
      <c r="AV138" s="23">
        <f t="shared" si="192"/>
        <v>0</v>
      </c>
      <c r="AW138" s="23">
        <f t="shared" si="193"/>
        <v>0</v>
      </c>
      <c r="AX138" s="23">
        <f t="shared" si="194"/>
        <v>0</v>
      </c>
      <c r="AY138" s="25" t="s">
        <v>392</v>
      </c>
      <c r="AZ138" s="25" t="s">
        <v>285</v>
      </c>
      <c r="BA138" s="8" t="s">
        <v>62</v>
      </c>
      <c r="BC138" s="23">
        <f t="shared" si="195"/>
        <v>0</v>
      </c>
      <c r="BD138" s="23">
        <f t="shared" si="196"/>
        <v>0</v>
      </c>
      <c r="BE138" s="23">
        <v>0</v>
      </c>
      <c r="BF138" s="23">
        <f>138</f>
        <v>138</v>
      </c>
      <c r="BH138" s="23">
        <f t="shared" si="197"/>
        <v>0</v>
      </c>
      <c r="BI138" s="23">
        <f t="shared" si="198"/>
        <v>0</v>
      </c>
      <c r="BJ138" s="23">
        <f t="shared" si="199"/>
        <v>0</v>
      </c>
      <c r="BK138" s="23"/>
      <c r="BL138" s="23">
        <v>734</v>
      </c>
      <c r="BW138" s="23">
        <v>21</v>
      </c>
    </row>
    <row r="139" spans="1:75" ht="13.5" customHeight="1" x14ac:dyDescent="0.25">
      <c r="A139" s="2" t="s">
        <v>429</v>
      </c>
      <c r="B139" s="3" t="s">
        <v>430</v>
      </c>
      <c r="C139" s="80" t="s">
        <v>431</v>
      </c>
      <c r="D139" s="75"/>
      <c r="E139" s="3" t="s">
        <v>68</v>
      </c>
      <c r="F139" s="23">
        <v>7</v>
      </c>
      <c r="G139" s="23">
        <v>0</v>
      </c>
      <c r="H139" s="23">
        <f t="shared" si="178"/>
        <v>0</v>
      </c>
      <c r="I139" s="23">
        <f t="shared" si="179"/>
        <v>0</v>
      </c>
      <c r="J139" s="23">
        <f t="shared" si="180"/>
        <v>0</v>
      </c>
      <c r="K139" s="23">
        <v>3.5E-4</v>
      </c>
      <c r="L139" s="24">
        <v>3.5E-4</v>
      </c>
      <c r="Z139" s="23">
        <f t="shared" si="181"/>
        <v>0</v>
      </c>
      <c r="AB139" s="23">
        <f t="shared" si="182"/>
        <v>0</v>
      </c>
      <c r="AC139" s="23">
        <f t="shared" si="183"/>
        <v>0</v>
      </c>
      <c r="AD139" s="23">
        <f t="shared" si="184"/>
        <v>0</v>
      </c>
      <c r="AE139" s="23">
        <f t="shared" si="185"/>
        <v>0</v>
      </c>
      <c r="AF139" s="23">
        <f t="shared" si="186"/>
        <v>0</v>
      </c>
      <c r="AG139" s="23">
        <f t="shared" si="187"/>
        <v>0</v>
      </c>
      <c r="AH139" s="23">
        <f t="shared" si="188"/>
        <v>0</v>
      </c>
      <c r="AI139" s="8" t="s">
        <v>53</v>
      </c>
      <c r="AJ139" s="23">
        <f t="shared" si="189"/>
        <v>0</v>
      </c>
      <c r="AK139" s="23">
        <f t="shared" si="190"/>
        <v>0</v>
      </c>
      <c r="AL139" s="23">
        <f t="shared" si="191"/>
        <v>0</v>
      </c>
      <c r="AN139" s="23">
        <v>21</v>
      </c>
      <c r="AO139" s="23">
        <f>G139*0.645734072</f>
        <v>0</v>
      </c>
      <c r="AP139" s="23">
        <f>G139*(1-0.645734072)</f>
        <v>0</v>
      </c>
      <c r="AQ139" s="25" t="s">
        <v>94</v>
      </c>
      <c r="AV139" s="23">
        <f t="shared" si="192"/>
        <v>0</v>
      </c>
      <c r="AW139" s="23">
        <f t="shared" si="193"/>
        <v>0</v>
      </c>
      <c r="AX139" s="23">
        <f t="shared" si="194"/>
        <v>0</v>
      </c>
      <c r="AY139" s="25" t="s">
        <v>392</v>
      </c>
      <c r="AZ139" s="25" t="s">
        <v>285</v>
      </c>
      <c r="BA139" s="8" t="s">
        <v>62</v>
      </c>
      <c r="BC139" s="23">
        <f t="shared" si="195"/>
        <v>0</v>
      </c>
      <c r="BD139" s="23">
        <f t="shared" si="196"/>
        <v>0</v>
      </c>
      <c r="BE139" s="23">
        <v>0</v>
      </c>
      <c r="BF139" s="23">
        <f>139</f>
        <v>139</v>
      </c>
      <c r="BH139" s="23">
        <f t="shared" si="197"/>
        <v>0</v>
      </c>
      <c r="BI139" s="23">
        <f t="shared" si="198"/>
        <v>0</v>
      </c>
      <c r="BJ139" s="23">
        <f t="shared" si="199"/>
        <v>0</v>
      </c>
      <c r="BK139" s="23"/>
      <c r="BL139" s="23">
        <v>734</v>
      </c>
      <c r="BW139" s="23">
        <v>21</v>
      </c>
    </row>
    <row r="140" spans="1:75" ht="13.5" customHeight="1" x14ac:dyDescent="0.25">
      <c r="A140" s="2" t="s">
        <v>432</v>
      </c>
      <c r="B140" s="3" t="s">
        <v>433</v>
      </c>
      <c r="C140" s="80" t="s">
        <v>434</v>
      </c>
      <c r="D140" s="75"/>
      <c r="E140" s="3" t="s">
        <v>68</v>
      </c>
      <c r="F140" s="23">
        <v>4</v>
      </c>
      <c r="G140" s="23">
        <v>0</v>
      </c>
      <c r="H140" s="23">
        <f t="shared" si="178"/>
        <v>0</v>
      </c>
      <c r="I140" s="23">
        <f t="shared" si="179"/>
        <v>0</v>
      </c>
      <c r="J140" s="23">
        <f t="shared" si="180"/>
        <v>0</v>
      </c>
      <c r="K140" s="23">
        <v>1.6000000000000001E-4</v>
      </c>
      <c r="L140" s="24">
        <v>1.6000000000000001E-4</v>
      </c>
      <c r="Z140" s="23">
        <f t="shared" si="181"/>
        <v>0</v>
      </c>
      <c r="AB140" s="23">
        <f t="shared" si="182"/>
        <v>0</v>
      </c>
      <c r="AC140" s="23">
        <f t="shared" si="183"/>
        <v>0</v>
      </c>
      <c r="AD140" s="23">
        <f t="shared" si="184"/>
        <v>0</v>
      </c>
      <c r="AE140" s="23">
        <f t="shared" si="185"/>
        <v>0</v>
      </c>
      <c r="AF140" s="23">
        <f t="shared" si="186"/>
        <v>0</v>
      </c>
      <c r="AG140" s="23">
        <f t="shared" si="187"/>
        <v>0</v>
      </c>
      <c r="AH140" s="23">
        <f t="shared" si="188"/>
        <v>0</v>
      </c>
      <c r="AI140" s="8" t="s">
        <v>53</v>
      </c>
      <c r="AJ140" s="23">
        <f t="shared" si="189"/>
        <v>0</v>
      </c>
      <c r="AK140" s="23">
        <f t="shared" si="190"/>
        <v>0</v>
      </c>
      <c r="AL140" s="23">
        <f t="shared" si="191"/>
        <v>0</v>
      </c>
      <c r="AN140" s="23">
        <v>21</v>
      </c>
      <c r="AO140" s="23">
        <f>G140*0.524501279</f>
        <v>0</v>
      </c>
      <c r="AP140" s="23">
        <f>G140*(1-0.524501279)</f>
        <v>0</v>
      </c>
      <c r="AQ140" s="25" t="s">
        <v>94</v>
      </c>
      <c r="AV140" s="23">
        <f t="shared" si="192"/>
        <v>0</v>
      </c>
      <c r="AW140" s="23">
        <f t="shared" si="193"/>
        <v>0</v>
      </c>
      <c r="AX140" s="23">
        <f t="shared" si="194"/>
        <v>0</v>
      </c>
      <c r="AY140" s="25" t="s">
        <v>392</v>
      </c>
      <c r="AZ140" s="25" t="s">
        <v>285</v>
      </c>
      <c r="BA140" s="8" t="s">
        <v>62</v>
      </c>
      <c r="BC140" s="23">
        <f t="shared" si="195"/>
        <v>0</v>
      </c>
      <c r="BD140" s="23">
        <f t="shared" si="196"/>
        <v>0</v>
      </c>
      <c r="BE140" s="23">
        <v>0</v>
      </c>
      <c r="BF140" s="23">
        <f>140</f>
        <v>140</v>
      </c>
      <c r="BH140" s="23">
        <f t="shared" si="197"/>
        <v>0</v>
      </c>
      <c r="BI140" s="23">
        <f t="shared" si="198"/>
        <v>0</v>
      </c>
      <c r="BJ140" s="23">
        <f t="shared" si="199"/>
        <v>0</v>
      </c>
      <c r="BK140" s="23"/>
      <c r="BL140" s="23">
        <v>734</v>
      </c>
      <c r="BW140" s="23">
        <v>21</v>
      </c>
    </row>
    <row r="141" spans="1:75" ht="13.5" customHeight="1" x14ac:dyDescent="0.25">
      <c r="A141" s="2" t="s">
        <v>435</v>
      </c>
      <c r="B141" s="3" t="s">
        <v>436</v>
      </c>
      <c r="C141" s="80" t="s">
        <v>437</v>
      </c>
      <c r="D141" s="75"/>
      <c r="E141" s="3" t="s">
        <v>68</v>
      </c>
      <c r="F141" s="23">
        <v>1</v>
      </c>
      <c r="G141" s="23">
        <v>0</v>
      </c>
      <c r="H141" s="23">
        <f t="shared" si="178"/>
        <v>0</v>
      </c>
      <c r="I141" s="23">
        <f t="shared" si="179"/>
        <v>0</v>
      </c>
      <c r="J141" s="23">
        <f t="shared" si="180"/>
        <v>0</v>
      </c>
      <c r="K141" s="23">
        <v>4.8999999999999998E-4</v>
      </c>
      <c r="L141" s="24">
        <v>4.8999999999999998E-4</v>
      </c>
      <c r="Z141" s="23">
        <f t="shared" si="181"/>
        <v>0</v>
      </c>
      <c r="AB141" s="23">
        <f t="shared" si="182"/>
        <v>0</v>
      </c>
      <c r="AC141" s="23">
        <f t="shared" si="183"/>
        <v>0</v>
      </c>
      <c r="AD141" s="23">
        <f t="shared" si="184"/>
        <v>0</v>
      </c>
      <c r="AE141" s="23">
        <f t="shared" si="185"/>
        <v>0</v>
      </c>
      <c r="AF141" s="23">
        <f t="shared" si="186"/>
        <v>0</v>
      </c>
      <c r="AG141" s="23">
        <f t="shared" si="187"/>
        <v>0</v>
      </c>
      <c r="AH141" s="23">
        <f t="shared" si="188"/>
        <v>0</v>
      </c>
      <c r="AI141" s="8" t="s">
        <v>53</v>
      </c>
      <c r="AJ141" s="23">
        <f t="shared" si="189"/>
        <v>0</v>
      </c>
      <c r="AK141" s="23">
        <f t="shared" si="190"/>
        <v>0</v>
      </c>
      <c r="AL141" s="23">
        <f t="shared" si="191"/>
        <v>0</v>
      </c>
      <c r="AN141" s="23">
        <v>21</v>
      </c>
      <c r="AO141" s="23">
        <f>G141*0.74322</f>
        <v>0</v>
      </c>
      <c r="AP141" s="23">
        <f>G141*(1-0.74322)</f>
        <v>0</v>
      </c>
      <c r="AQ141" s="25" t="s">
        <v>94</v>
      </c>
      <c r="AV141" s="23">
        <f t="shared" si="192"/>
        <v>0</v>
      </c>
      <c r="AW141" s="23">
        <f t="shared" si="193"/>
        <v>0</v>
      </c>
      <c r="AX141" s="23">
        <f t="shared" si="194"/>
        <v>0</v>
      </c>
      <c r="AY141" s="25" t="s">
        <v>392</v>
      </c>
      <c r="AZ141" s="25" t="s">
        <v>285</v>
      </c>
      <c r="BA141" s="8" t="s">
        <v>62</v>
      </c>
      <c r="BC141" s="23">
        <f t="shared" si="195"/>
        <v>0</v>
      </c>
      <c r="BD141" s="23">
        <f t="shared" si="196"/>
        <v>0</v>
      </c>
      <c r="BE141" s="23">
        <v>0</v>
      </c>
      <c r="BF141" s="23">
        <f>141</f>
        <v>141</v>
      </c>
      <c r="BH141" s="23">
        <f t="shared" si="197"/>
        <v>0</v>
      </c>
      <c r="BI141" s="23">
        <f t="shared" si="198"/>
        <v>0</v>
      </c>
      <c r="BJ141" s="23">
        <f t="shared" si="199"/>
        <v>0</v>
      </c>
      <c r="BK141" s="23"/>
      <c r="BL141" s="23">
        <v>734</v>
      </c>
      <c r="BW141" s="23">
        <v>21</v>
      </c>
    </row>
    <row r="142" spans="1:75" ht="13.5" customHeight="1" x14ac:dyDescent="0.25">
      <c r="A142" s="2" t="s">
        <v>438</v>
      </c>
      <c r="B142" s="3" t="s">
        <v>439</v>
      </c>
      <c r="C142" s="80" t="s">
        <v>440</v>
      </c>
      <c r="D142" s="75"/>
      <c r="E142" s="3" t="s">
        <v>68</v>
      </c>
      <c r="F142" s="23">
        <v>8</v>
      </c>
      <c r="G142" s="23">
        <v>0</v>
      </c>
      <c r="H142" s="23">
        <f t="shared" si="178"/>
        <v>0</v>
      </c>
      <c r="I142" s="23">
        <f t="shared" si="179"/>
        <v>0</v>
      </c>
      <c r="J142" s="23">
        <f t="shared" si="180"/>
        <v>0</v>
      </c>
      <c r="K142" s="23">
        <v>2.4000000000000001E-4</v>
      </c>
      <c r="L142" s="24">
        <v>2.4000000000000001E-4</v>
      </c>
      <c r="Z142" s="23">
        <f t="shared" si="181"/>
        <v>0</v>
      </c>
      <c r="AB142" s="23">
        <f t="shared" si="182"/>
        <v>0</v>
      </c>
      <c r="AC142" s="23">
        <f t="shared" si="183"/>
        <v>0</v>
      </c>
      <c r="AD142" s="23">
        <f t="shared" si="184"/>
        <v>0</v>
      </c>
      <c r="AE142" s="23">
        <f t="shared" si="185"/>
        <v>0</v>
      </c>
      <c r="AF142" s="23">
        <f t="shared" si="186"/>
        <v>0</v>
      </c>
      <c r="AG142" s="23">
        <f t="shared" si="187"/>
        <v>0</v>
      </c>
      <c r="AH142" s="23">
        <f t="shared" si="188"/>
        <v>0</v>
      </c>
      <c r="AI142" s="8" t="s">
        <v>53</v>
      </c>
      <c r="AJ142" s="23">
        <f t="shared" si="189"/>
        <v>0</v>
      </c>
      <c r="AK142" s="23">
        <f t="shared" si="190"/>
        <v>0</v>
      </c>
      <c r="AL142" s="23">
        <f t="shared" si="191"/>
        <v>0</v>
      </c>
      <c r="AN142" s="23">
        <v>21</v>
      </c>
      <c r="AO142" s="23">
        <f>G142*0.662577132</f>
        <v>0</v>
      </c>
      <c r="AP142" s="23">
        <f>G142*(1-0.662577132)</f>
        <v>0</v>
      </c>
      <c r="AQ142" s="25" t="s">
        <v>94</v>
      </c>
      <c r="AV142" s="23">
        <f t="shared" si="192"/>
        <v>0</v>
      </c>
      <c r="AW142" s="23">
        <f t="shared" si="193"/>
        <v>0</v>
      </c>
      <c r="AX142" s="23">
        <f t="shared" si="194"/>
        <v>0</v>
      </c>
      <c r="AY142" s="25" t="s">
        <v>392</v>
      </c>
      <c r="AZ142" s="25" t="s">
        <v>285</v>
      </c>
      <c r="BA142" s="8" t="s">
        <v>62</v>
      </c>
      <c r="BC142" s="23">
        <f t="shared" si="195"/>
        <v>0</v>
      </c>
      <c r="BD142" s="23">
        <f t="shared" si="196"/>
        <v>0</v>
      </c>
      <c r="BE142" s="23">
        <v>0</v>
      </c>
      <c r="BF142" s="23">
        <f>142</f>
        <v>142</v>
      </c>
      <c r="BH142" s="23">
        <f t="shared" si="197"/>
        <v>0</v>
      </c>
      <c r="BI142" s="23">
        <f t="shared" si="198"/>
        <v>0</v>
      </c>
      <c r="BJ142" s="23">
        <f t="shared" si="199"/>
        <v>0</v>
      </c>
      <c r="BK142" s="23"/>
      <c r="BL142" s="23">
        <v>734</v>
      </c>
      <c r="BW142" s="23">
        <v>21</v>
      </c>
    </row>
    <row r="143" spans="1:75" ht="13.5" customHeight="1" x14ac:dyDescent="0.25">
      <c r="A143" s="2" t="s">
        <v>441</v>
      </c>
      <c r="B143" s="3" t="s">
        <v>442</v>
      </c>
      <c r="C143" s="80" t="s">
        <v>443</v>
      </c>
      <c r="D143" s="75"/>
      <c r="E143" s="3" t="s">
        <v>68</v>
      </c>
      <c r="F143" s="23">
        <v>3</v>
      </c>
      <c r="G143" s="23">
        <v>0</v>
      </c>
      <c r="H143" s="23">
        <f t="shared" si="178"/>
        <v>0</v>
      </c>
      <c r="I143" s="23">
        <f t="shared" si="179"/>
        <v>0</v>
      </c>
      <c r="J143" s="23">
        <f t="shared" si="180"/>
        <v>0</v>
      </c>
      <c r="K143" s="23">
        <v>0</v>
      </c>
      <c r="L143" s="24">
        <v>0</v>
      </c>
      <c r="Z143" s="23">
        <f t="shared" si="181"/>
        <v>0</v>
      </c>
      <c r="AB143" s="23">
        <f t="shared" si="182"/>
        <v>0</v>
      </c>
      <c r="AC143" s="23">
        <f t="shared" si="183"/>
        <v>0</v>
      </c>
      <c r="AD143" s="23">
        <f t="shared" si="184"/>
        <v>0</v>
      </c>
      <c r="AE143" s="23">
        <f t="shared" si="185"/>
        <v>0</v>
      </c>
      <c r="AF143" s="23">
        <f t="shared" si="186"/>
        <v>0</v>
      </c>
      <c r="AG143" s="23">
        <f t="shared" si="187"/>
        <v>0</v>
      </c>
      <c r="AH143" s="23">
        <f t="shared" si="188"/>
        <v>0</v>
      </c>
      <c r="AI143" s="8" t="s">
        <v>53</v>
      </c>
      <c r="AJ143" s="23">
        <f t="shared" si="189"/>
        <v>0</v>
      </c>
      <c r="AK143" s="23">
        <f t="shared" si="190"/>
        <v>0</v>
      </c>
      <c r="AL143" s="23">
        <f t="shared" si="191"/>
        <v>0</v>
      </c>
      <c r="AN143" s="23">
        <v>21</v>
      </c>
      <c r="AO143" s="23">
        <f>G143*0.834226232</f>
        <v>0</v>
      </c>
      <c r="AP143" s="23">
        <f>G143*(1-0.834226232)</f>
        <v>0</v>
      </c>
      <c r="AQ143" s="25" t="s">
        <v>94</v>
      </c>
      <c r="AV143" s="23">
        <f t="shared" si="192"/>
        <v>0</v>
      </c>
      <c r="AW143" s="23">
        <f t="shared" si="193"/>
        <v>0</v>
      </c>
      <c r="AX143" s="23">
        <f t="shared" si="194"/>
        <v>0</v>
      </c>
      <c r="AY143" s="25" t="s">
        <v>392</v>
      </c>
      <c r="AZ143" s="25" t="s">
        <v>285</v>
      </c>
      <c r="BA143" s="8" t="s">
        <v>62</v>
      </c>
      <c r="BC143" s="23">
        <f t="shared" si="195"/>
        <v>0</v>
      </c>
      <c r="BD143" s="23">
        <f t="shared" si="196"/>
        <v>0</v>
      </c>
      <c r="BE143" s="23">
        <v>0</v>
      </c>
      <c r="BF143" s="23">
        <f>143</f>
        <v>143</v>
      </c>
      <c r="BH143" s="23">
        <f t="shared" si="197"/>
        <v>0</v>
      </c>
      <c r="BI143" s="23">
        <f t="shared" si="198"/>
        <v>0</v>
      </c>
      <c r="BJ143" s="23">
        <f t="shared" si="199"/>
        <v>0</v>
      </c>
      <c r="BK143" s="23"/>
      <c r="BL143" s="23">
        <v>734</v>
      </c>
      <c r="BW143" s="23">
        <v>21</v>
      </c>
    </row>
    <row r="144" spans="1:75" ht="13.5" customHeight="1" x14ac:dyDescent="0.25">
      <c r="A144" s="2" t="s">
        <v>444</v>
      </c>
      <c r="B144" s="3" t="s">
        <v>445</v>
      </c>
      <c r="C144" s="80" t="s">
        <v>446</v>
      </c>
      <c r="D144" s="75"/>
      <c r="E144" s="3" t="s">
        <v>68</v>
      </c>
      <c r="F144" s="23">
        <v>3</v>
      </c>
      <c r="G144" s="23">
        <v>0</v>
      </c>
      <c r="H144" s="23">
        <f t="shared" si="178"/>
        <v>0</v>
      </c>
      <c r="I144" s="23">
        <f t="shared" si="179"/>
        <v>0</v>
      </c>
      <c r="J144" s="23">
        <f t="shared" si="180"/>
        <v>0</v>
      </c>
      <c r="K144" s="23">
        <v>0</v>
      </c>
      <c r="L144" s="24">
        <v>0</v>
      </c>
      <c r="Z144" s="23">
        <f t="shared" si="181"/>
        <v>0</v>
      </c>
      <c r="AB144" s="23">
        <f t="shared" si="182"/>
        <v>0</v>
      </c>
      <c r="AC144" s="23">
        <f t="shared" si="183"/>
        <v>0</v>
      </c>
      <c r="AD144" s="23">
        <f t="shared" si="184"/>
        <v>0</v>
      </c>
      <c r="AE144" s="23">
        <f t="shared" si="185"/>
        <v>0</v>
      </c>
      <c r="AF144" s="23">
        <f t="shared" si="186"/>
        <v>0</v>
      </c>
      <c r="AG144" s="23">
        <f t="shared" si="187"/>
        <v>0</v>
      </c>
      <c r="AH144" s="23">
        <f t="shared" si="188"/>
        <v>0</v>
      </c>
      <c r="AI144" s="8" t="s">
        <v>53</v>
      </c>
      <c r="AJ144" s="23">
        <f t="shared" si="189"/>
        <v>0</v>
      </c>
      <c r="AK144" s="23">
        <f t="shared" si="190"/>
        <v>0</v>
      </c>
      <c r="AL144" s="23">
        <f t="shared" si="191"/>
        <v>0</v>
      </c>
      <c r="AN144" s="23">
        <v>21</v>
      </c>
      <c r="AO144" s="23">
        <f>G144*0.75452975</f>
        <v>0</v>
      </c>
      <c r="AP144" s="23">
        <f>G144*(1-0.75452975)</f>
        <v>0</v>
      </c>
      <c r="AQ144" s="25" t="s">
        <v>94</v>
      </c>
      <c r="AV144" s="23">
        <f t="shared" si="192"/>
        <v>0</v>
      </c>
      <c r="AW144" s="23">
        <f t="shared" si="193"/>
        <v>0</v>
      </c>
      <c r="AX144" s="23">
        <f t="shared" si="194"/>
        <v>0</v>
      </c>
      <c r="AY144" s="25" t="s">
        <v>392</v>
      </c>
      <c r="AZ144" s="25" t="s">
        <v>285</v>
      </c>
      <c r="BA144" s="8" t="s">
        <v>62</v>
      </c>
      <c r="BC144" s="23">
        <f t="shared" si="195"/>
        <v>0</v>
      </c>
      <c r="BD144" s="23">
        <f t="shared" si="196"/>
        <v>0</v>
      </c>
      <c r="BE144" s="23">
        <v>0</v>
      </c>
      <c r="BF144" s="23">
        <f>144</f>
        <v>144</v>
      </c>
      <c r="BH144" s="23">
        <f t="shared" si="197"/>
        <v>0</v>
      </c>
      <c r="BI144" s="23">
        <f t="shared" si="198"/>
        <v>0</v>
      </c>
      <c r="BJ144" s="23">
        <f t="shared" si="199"/>
        <v>0</v>
      </c>
      <c r="BK144" s="23"/>
      <c r="BL144" s="23">
        <v>734</v>
      </c>
      <c r="BW144" s="23">
        <v>21</v>
      </c>
    </row>
    <row r="145" spans="1:75" ht="13.5" customHeight="1" x14ac:dyDescent="0.25">
      <c r="A145" s="2" t="s">
        <v>447</v>
      </c>
      <c r="B145" s="3" t="s">
        <v>448</v>
      </c>
      <c r="C145" s="80" t="s">
        <v>449</v>
      </c>
      <c r="D145" s="75"/>
      <c r="E145" s="3" t="s">
        <v>68</v>
      </c>
      <c r="F145" s="23">
        <v>3</v>
      </c>
      <c r="G145" s="23">
        <v>0</v>
      </c>
      <c r="H145" s="23">
        <f t="shared" si="178"/>
        <v>0</v>
      </c>
      <c r="I145" s="23">
        <f t="shared" si="179"/>
        <v>0</v>
      </c>
      <c r="J145" s="23">
        <f t="shared" si="180"/>
        <v>0</v>
      </c>
      <c r="K145" s="23">
        <v>1.6999999999999999E-3</v>
      </c>
      <c r="L145" s="24">
        <v>1.6999999999999999E-3</v>
      </c>
      <c r="Z145" s="23">
        <f t="shared" si="181"/>
        <v>0</v>
      </c>
      <c r="AB145" s="23">
        <f t="shared" si="182"/>
        <v>0</v>
      </c>
      <c r="AC145" s="23">
        <f t="shared" si="183"/>
        <v>0</v>
      </c>
      <c r="AD145" s="23">
        <f t="shared" si="184"/>
        <v>0</v>
      </c>
      <c r="AE145" s="23">
        <f t="shared" si="185"/>
        <v>0</v>
      </c>
      <c r="AF145" s="23">
        <f t="shared" si="186"/>
        <v>0</v>
      </c>
      <c r="AG145" s="23">
        <f t="shared" si="187"/>
        <v>0</v>
      </c>
      <c r="AH145" s="23">
        <f t="shared" si="188"/>
        <v>0</v>
      </c>
      <c r="AI145" s="8" t="s">
        <v>53</v>
      </c>
      <c r="AJ145" s="23">
        <f t="shared" si="189"/>
        <v>0</v>
      </c>
      <c r="AK145" s="23">
        <f t="shared" si="190"/>
        <v>0</v>
      </c>
      <c r="AL145" s="23">
        <f t="shared" si="191"/>
        <v>0</v>
      </c>
      <c r="AN145" s="23">
        <v>21</v>
      </c>
      <c r="AO145" s="23">
        <f>G145*0.885918854</f>
        <v>0</v>
      </c>
      <c r="AP145" s="23">
        <f>G145*(1-0.885918854)</f>
        <v>0</v>
      </c>
      <c r="AQ145" s="25" t="s">
        <v>94</v>
      </c>
      <c r="AV145" s="23">
        <f t="shared" si="192"/>
        <v>0</v>
      </c>
      <c r="AW145" s="23">
        <f t="shared" si="193"/>
        <v>0</v>
      </c>
      <c r="AX145" s="23">
        <f t="shared" si="194"/>
        <v>0</v>
      </c>
      <c r="AY145" s="25" t="s">
        <v>392</v>
      </c>
      <c r="AZ145" s="25" t="s">
        <v>285</v>
      </c>
      <c r="BA145" s="8" t="s">
        <v>62</v>
      </c>
      <c r="BC145" s="23">
        <f t="shared" si="195"/>
        <v>0</v>
      </c>
      <c r="BD145" s="23">
        <f t="shared" si="196"/>
        <v>0</v>
      </c>
      <c r="BE145" s="23">
        <v>0</v>
      </c>
      <c r="BF145" s="23">
        <f>145</f>
        <v>145</v>
      </c>
      <c r="BH145" s="23">
        <f t="shared" si="197"/>
        <v>0</v>
      </c>
      <c r="BI145" s="23">
        <f t="shared" si="198"/>
        <v>0</v>
      </c>
      <c r="BJ145" s="23">
        <f t="shared" si="199"/>
        <v>0</v>
      </c>
      <c r="BK145" s="23"/>
      <c r="BL145" s="23">
        <v>734</v>
      </c>
      <c r="BW145" s="23">
        <v>21</v>
      </c>
    </row>
    <row r="146" spans="1:75" ht="13.5" customHeight="1" x14ac:dyDescent="0.25">
      <c r="A146" s="2" t="s">
        <v>450</v>
      </c>
      <c r="B146" s="3" t="s">
        <v>451</v>
      </c>
      <c r="C146" s="80" t="s">
        <v>452</v>
      </c>
      <c r="D146" s="75"/>
      <c r="E146" s="3" t="s">
        <v>68</v>
      </c>
      <c r="F146" s="23">
        <v>2</v>
      </c>
      <c r="G146" s="23">
        <v>0</v>
      </c>
      <c r="H146" s="23">
        <f t="shared" si="178"/>
        <v>0</v>
      </c>
      <c r="I146" s="23">
        <f t="shared" si="179"/>
        <v>0</v>
      </c>
      <c r="J146" s="23">
        <f t="shared" si="180"/>
        <v>0</v>
      </c>
      <c r="K146" s="23">
        <v>5.4000000000000001E-4</v>
      </c>
      <c r="L146" s="24">
        <v>5.4000000000000001E-4</v>
      </c>
      <c r="Z146" s="23">
        <f t="shared" si="181"/>
        <v>0</v>
      </c>
      <c r="AB146" s="23">
        <f t="shared" si="182"/>
        <v>0</v>
      </c>
      <c r="AC146" s="23">
        <f t="shared" si="183"/>
        <v>0</v>
      </c>
      <c r="AD146" s="23">
        <f t="shared" si="184"/>
        <v>0</v>
      </c>
      <c r="AE146" s="23">
        <f t="shared" si="185"/>
        <v>0</v>
      </c>
      <c r="AF146" s="23">
        <f t="shared" si="186"/>
        <v>0</v>
      </c>
      <c r="AG146" s="23">
        <f t="shared" si="187"/>
        <v>0</v>
      </c>
      <c r="AH146" s="23">
        <f t="shared" si="188"/>
        <v>0</v>
      </c>
      <c r="AI146" s="8" t="s">
        <v>53</v>
      </c>
      <c r="AJ146" s="23">
        <f t="shared" si="189"/>
        <v>0</v>
      </c>
      <c r="AK146" s="23">
        <f t="shared" si="190"/>
        <v>0</v>
      </c>
      <c r="AL146" s="23">
        <f t="shared" si="191"/>
        <v>0</v>
      </c>
      <c r="AN146" s="23">
        <v>21</v>
      </c>
      <c r="AO146" s="23">
        <f>G146*0.810813609</f>
        <v>0</v>
      </c>
      <c r="AP146" s="23">
        <f>G146*(1-0.810813609)</f>
        <v>0</v>
      </c>
      <c r="AQ146" s="25" t="s">
        <v>94</v>
      </c>
      <c r="AV146" s="23">
        <f t="shared" si="192"/>
        <v>0</v>
      </c>
      <c r="AW146" s="23">
        <f t="shared" si="193"/>
        <v>0</v>
      </c>
      <c r="AX146" s="23">
        <f t="shared" si="194"/>
        <v>0</v>
      </c>
      <c r="AY146" s="25" t="s">
        <v>392</v>
      </c>
      <c r="AZ146" s="25" t="s">
        <v>285</v>
      </c>
      <c r="BA146" s="8" t="s">
        <v>62</v>
      </c>
      <c r="BC146" s="23">
        <f t="shared" si="195"/>
        <v>0</v>
      </c>
      <c r="BD146" s="23">
        <f t="shared" si="196"/>
        <v>0</v>
      </c>
      <c r="BE146" s="23">
        <v>0</v>
      </c>
      <c r="BF146" s="23">
        <f>146</f>
        <v>146</v>
      </c>
      <c r="BH146" s="23">
        <f t="shared" si="197"/>
        <v>0</v>
      </c>
      <c r="BI146" s="23">
        <f t="shared" si="198"/>
        <v>0</v>
      </c>
      <c r="BJ146" s="23">
        <f t="shared" si="199"/>
        <v>0</v>
      </c>
      <c r="BK146" s="23"/>
      <c r="BL146" s="23">
        <v>734</v>
      </c>
      <c r="BW146" s="23">
        <v>21</v>
      </c>
    </row>
    <row r="147" spans="1:75" ht="13.5" customHeight="1" x14ac:dyDescent="0.25">
      <c r="A147" s="2" t="s">
        <v>453</v>
      </c>
      <c r="B147" s="3" t="s">
        <v>454</v>
      </c>
      <c r="C147" s="80" t="s">
        <v>455</v>
      </c>
      <c r="D147" s="75"/>
      <c r="E147" s="3" t="s">
        <v>68</v>
      </c>
      <c r="F147" s="23">
        <v>1</v>
      </c>
      <c r="G147" s="23">
        <v>0</v>
      </c>
      <c r="H147" s="23">
        <f t="shared" si="178"/>
        <v>0</v>
      </c>
      <c r="I147" s="23">
        <f t="shared" si="179"/>
        <v>0</v>
      </c>
      <c r="J147" s="23">
        <f t="shared" si="180"/>
        <v>0</v>
      </c>
      <c r="K147" s="23">
        <v>2.9999999999999997E-4</v>
      </c>
      <c r="L147" s="24">
        <v>2.9999999999999997E-4</v>
      </c>
      <c r="Z147" s="23">
        <f t="shared" si="181"/>
        <v>0</v>
      </c>
      <c r="AB147" s="23">
        <f t="shared" si="182"/>
        <v>0</v>
      </c>
      <c r="AC147" s="23">
        <f t="shared" si="183"/>
        <v>0</v>
      </c>
      <c r="AD147" s="23">
        <f t="shared" si="184"/>
        <v>0</v>
      </c>
      <c r="AE147" s="23">
        <f t="shared" si="185"/>
        <v>0</v>
      </c>
      <c r="AF147" s="23">
        <f t="shared" si="186"/>
        <v>0</v>
      </c>
      <c r="AG147" s="23">
        <f t="shared" si="187"/>
        <v>0</v>
      </c>
      <c r="AH147" s="23">
        <f t="shared" si="188"/>
        <v>0</v>
      </c>
      <c r="AI147" s="8" t="s">
        <v>53</v>
      </c>
      <c r="AJ147" s="23">
        <f t="shared" si="189"/>
        <v>0</v>
      </c>
      <c r="AK147" s="23">
        <f t="shared" si="190"/>
        <v>0</v>
      </c>
      <c r="AL147" s="23">
        <f t="shared" si="191"/>
        <v>0</v>
      </c>
      <c r="AN147" s="23">
        <v>21</v>
      </c>
      <c r="AO147" s="23">
        <f>G147*0.768179551</f>
        <v>0</v>
      </c>
      <c r="AP147" s="23">
        <f>G147*(1-0.768179551)</f>
        <v>0</v>
      </c>
      <c r="AQ147" s="25" t="s">
        <v>94</v>
      </c>
      <c r="AV147" s="23">
        <f t="shared" si="192"/>
        <v>0</v>
      </c>
      <c r="AW147" s="23">
        <f t="shared" si="193"/>
        <v>0</v>
      </c>
      <c r="AX147" s="23">
        <f t="shared" si="194"/>
        <v>0</v>
      </c>
      <c r="AY147" s="25" t="s">
        <v>392</v>
      </c>
      <c r="AZ147" s="25" t="s">
        <v>285</v>
      </c>
      <c r="BA147" s="8" t="s">
        <v>62</v>
      </c>
      <c r="BC147" s="23">
        <f t="shared" si="195"/>
        <v>0</v>
      </c>
      <c r="BD147" s="23">
        <f t="shared" si="196"/>
        <v>0</v>
      </c>
      <c r="BE147" s="23">
        <v>0</v>
      </c>
      <c r="BF147" s="23">
        <f>147</f>
        <v>147</v>
      </c>
      <c r="BH147" s="23">
        <f t="shared" si="197"/>
        <v>0</v>
      </c>
      <c r="BI147" s="23">
        <f t="shared" si="198"/>
        <v>0</v>
      </c>
      <c r="BJ147" s="23">
        <f t="shared" si="199"/>
        <v>0</v>
      </c>
      <c r="BK147" s="23"/>
      <c r="BL147" s="23">
        <v>734</v>
      </c>
      <c r="BW147" s="23">
        <v>21</v>
      </c>
    </row>
    <row r="148" spans="1:75" ht="13.5" customHeight="1" x14ac:dyDescent="0.25">
      <c r="A148" s="2" t="s">
        <v>456</v>
      </c>
      <c r="B148" s="3" t="s">
        <v>457</v>
      </c>
      <c r="C148" s="80" t="s">
        <v>458</v>
      </c>
      <c r="D148" s="75"/>
      <c r="E148" s="3" t="s">
        <v>68</v>
      </c>
      <c r="F148" s="23">
        <v>18</v>
      </c>
      <c r="G148" s="23">
        <v>0</v>
      </c>
      <c r="H148" s="23">
        <f t="shared" si="178"/>
        <v>0</v>
      </c>
      <c r="I148" s="23">
        <f t="shared" si="179"/>
        <v>0</v>
      </c>
      <c r="J148" s="23">
        <f t="shared" si="180"/>
        <v>0</v>
      </c>
      <c r="K148" s="23">
        <v>6.2E-4</v>
      </c>
      <c r="L148" s="24">
        <v>6.2E-4</v>
      </c>
      <c r="Z148" s="23">
        <f t="shared" si="181"/>
        <v>0</v>
      </c>
      <c r="AB148" s="23">
        <f t="shared" si="182"/>
        <v>0</v>
      </c>
      <c r="AC148" s="23">
        <f t="shared" si="183"/>
        <v>0</v>
      </c>
      <c r="AD148" s="23">
        <f t="shared" si="184"/>
        <v>0</v>
      </c>
      <c r="AE148" s="23">
        <f t="shared" si="185"/>
        <v>0</v>
      </c>
      <c r="AF148" s="23">
        <f t="shared" si="186"/>
        <v>0</v>
      </c>
      <c r="AG148" s="23">
        <f t="shared" si="187"/>
        <v>0</v>
      </c>
      <c r="AH148" s="23">
        <f t="shared" si="188"/>
        <v>0</v>
      </c>
      <c r="AI148" s="8" t="s">
        <v>53</v>
      </c>
      <c r="AJ148" s="23">
        <f t="shared" si="189"/>
        <v>0</v>
      </c>
      <c r="AK148" s="23">
        <f t="shared" si="190"/>
        <v>0</v>
      </c>
      <c r="AL148" s="23">
        <f t="shared" si="191"/>
        <v>0</v>
      </c>
      <c r="AN148" s="23">
        <v>21</v>
      </c>
      <c r="AO148" s="23">
        <f>G148*0.711947627</f>
        <v>0</v>
      </c>
      <c r="AP148" s="23">
        <f>G148*(1-0.711947627)</f>
        <v>0</v>
      </c>
      <c r="AQ148" s="25" t="s">
        <v>94</v>
      </c>
      <c r="AV148" s="23">
        <f t="shared" si="192"/>
        <v>0</v>
      </c>
      <c r="AW148" s="23">
        <f t="shared" si="193"/>
        <v>0</v>
      </c>
      <c r="AX148" s="23">
        <f t="shared" si="194"/>
        <v>0</v>
      </c>
      <c r="AY148" s="25" t="s">
        <v>392</v>
      </c>
      <c r="AZ148" s="25" t="s">
        <v>285</v>
      </c>
      <c r="BA148" s="8" t="s">
        <v>62</v>
      </c>
      <c r="BC148" s="23">
        <f t="shared" si="195"/>
        <v>0</v>
      </c>
      <c r="BD148" s="23">
        <f t="shared" si="196"/>
        <v>0</v>
      </c>
      <c r="BE148" s="23">
        <v>0</v>
      </c>
      <c r="BF148" s="23">
        <f>148</f>
        <v>148</v>
      </c>
      <c r="BH148" s="23">
        <f t="shared" si="197"/>
        <v>0</v>
      </c>
      <c r="BI148" s="23">
        <f t="shared" si="198"/>
        <v>0</v>
      </c>
      <c r="BJ148" s="23">
        <f t="shared" si="199"/>
        <v>0</v>
      </c>
      <c r="BK148" s="23"/>
      <c r="BL148" s="23">
        <v>734</v>
      </c>
      <c r="BW148" s="23">
        <v>21</v>
      </c>
    </row>
    <row r="149" spans="1:75" ht="13.5" customHeight="1" x14ac:dyDescent="0.25">
      <c r="A149" s="2" t="s">
        <v>459</v>
      </c>
      <c r="B149" s="3" t="s">
        <v>460</v>
      </c>
      <c r="C149" s="80" t="s">
        <v>461</v>
      </c>
      <c r="D149" s="75"/>
      <c r="E149" s="3" t="s">
        <v>68</v>
      </c>
      <c r="F149" s="23">
        <v>2</v>
      </c>
      <c r="G149" s="23">
        <v>0</v>
      </c>
      <c r="H149" s="23">
        <f t="shared" si="178"/>
        <v>0</v>
      </c>
      <c r="I149" s="23">
        <f t="shared" si="179"/>
        <v>0</v>
      </c>
      <c r="J149" s="23">
        <f t="shared" si="180"/>
        <v>0</v>
      </c>
      <c r="K149" s="23">
        <v>1.1800000000000001E-3</v>
      </c>
      <c r="L149" s="24">
        <v>1.1800000000000001E-3</v>
      </c>
      <c r="Z149" s="23">
        <f t="shared" si="181"/>
        <v>0</v>
      </c>
      <c r="AB149" s="23">
        <f t="shared" si="182"/>
        <v>0</v>
      </c>
      <c r="AC149" s="23">
        <f t="shared" si="183"/>
        <v>0</v>
      </c>
      <c r="AD149" s="23">
        <f t="shared" si="184"/>
        <v>0</v>
      </c>
      <c r="AE149" s="23">
        <f t="shared" si="185"/>
        <v>0</v>
      </c>
      <c r="AF149" s="23">
        <f t="shared" si="186"/>
        <v>0</v>
      </c>
      <c r="AG149" s="23">
        <f t="shared" si="187"/>
        <v>0</v>
      </c>
      <c r="AH149" s="23">
        <f t="shared" si="188"/>
        <v>0</v>
      </c>
      <c r="AI149" s="8" t="s">
        <v>53</v>
      </c>
      <c r="AJ149" s="23">
        <f t="shared" si="189"/>
        <v>0</v>
      </c>
      <c r="AK149" s="23">
        <f t="shared" si="190"/>
        <v>0</v>
      </c>
      <c r="AL149" s="23">
        <f t="shared" si="191"/>
        <v>0</v>
      </c>
      <c r="AN149" s="23">
        <v>21</v>
      </c>
      <c r="AO149" s="23">
        <f>G149*0.862831858</f>
        <v>0</v>
      </c>
      <c r="AP149" s="23">
        <f>G149*(1-0.862831858)</f>
        <v>0</v>
      </c>
      <c r="AQ149" s="25" t="s">
        <v>94</v>
      </c>
      <c r="AV149" s="23">
        <f t="shared" si="192"/>
        <v>0</v>
      </c>
      <c r="AW149" s="23">
        <f t="shared" si="193"/>
        <v>0</v>
      </c>
      <c r="AX149" s="23">
        <f t="shared" si="194"/>
        <v>0</v>
      </c>
      <c r="AY149" s="25" t="s">
        <v>392</v>
      </c>
      <c r="AZ149" s="25" t="s">
        <v>285</v>
      </c>
      <c r="BA149" s="8" t="s">
        <v>62</v>
      </c>
      <c r="BC149" s="23">
        <f t="shared" si="195"/>
        <v>0</v>
      </c>
      <c r="BD149" s="23">
        <f t="shared" si="196"/>
        <v>0</v>
      </c>
      <c r="BE149" s="23">
        <v>0</v>
      </c>
      <c r="BF149" s="23">
        <f>149</f>
        <v>149</v>
      </c>
      <c r="BH149" s="23">
        <f t="shared" si="197"/>
        <v>0</v>
      </c>
      <c r="BI149" s="23">
        <f t="shared" si="198"/>
        <v>0</v>
      </c>
      <c r="BJ149" s="23">
        <f t="shared" si="199"/>
        <v>0</v>
      </c>
      <c r="BK149" s="23"/>
      <c r="BL149" s="23">
        <v>734</v>
      </c>
      <c r="BW149" s="23">
        <v>21</v>
      </c>
    </row>
    <row r="150" spans="1:75" ht="13.5" customHeight="1" x14ac:dyDescent="0.25">
      <c r="A150" s="2" t="s">
        <v>462</v>
      </c>
      <c r="B150" s="3" t="s">
        <v>463</v>
      </c>
      <c r="C150" s="80" t="s">
        <v>464</v>
      </c>
      <c r="D150" s="75"/>
      <c r="E150" s="3" t="s">
        <v>68</v>
      </c>
      <c r="F150" s="23">
        <v>8</v>
      </c>
      <c r="G150" s="23">
        <v>0</v>
      </c>
      <c r="H150" s="23">
        <f t="shared" si="178"/>
        <v>0</v>
      </c>
      <c r="I150" s="23">
        <f t="shared" si="179"/>
        <v>0</v>
      </c>
      <c r="J150" s="23">
        <f t="shared" si="180"/>
        <v>0</v>
      </c>
      <c r="K150" s="23">
        <v>8.4000000000000003E-4</v>
      </c>
      <c r="L150" s="24">
        <v>8.4000000000000003E-4</v>
      </c>
      <c r="Z150" s="23">
        <f t="shared" si="181"/>
        <v>0</v>
      </c>
      <c r="AB150" s="23">
        <f t="shared" si="182"/>
        <v>0</v>
      </c>
      <c r="AC150" s="23">
        <f t="shared" si="183"/>
        <v>0</v>
      </c>
      <c r="AD150" s="23">
        <f t="shared" si="184"/>
        <v>0</v>
      </c>
      <c r="AE150" s="23">
        <f t="shared" si="185"/>
        <v>0</v>
      </c>
      <c r="AF150" s="23">
        <f t="shared" si="186"/>
        <v>0</v>
      </c>
      <c r="AG150" s="23">
        <f t="shared" si="187"/>
        <v>0</v>
      </c>
      <c r="AH150" s="23">
        <f t="shared" si="188"/>
        <v>0</v>
      </c>
      <c r="AI150" s="8" t="s">
        <v>53</v>
      </c>
      <c r="AJ150" s="23">
        <f t="shared" si="189"/>
        <v>0</v>
      </c>
      <c r="AK150" s="23">
        <f t="shared" si="190"/>
        <v>0</v>
      </c>
      <c r="AL150" s="23">
        <f t="shared" si="191"/>
        <v>0</v>
      </c>
      <c r="AN150" s="23">
        <v>21</v>
      </c>
      <c r="AO150" s="23">
        <f>G150*0.856404577</f>
        <v>0</v>
      </c>
      <c r="AP150" s="23">
        <f>G150*(1-0.856404577)</f>
        <v>0</v>
      </c>
      <c r="AQ150" s="25" t="s">
        <v>94</v>
      </c>
      <c r="AV150" s="23">
        <f t="shared" si="192"/>
        <v>0</v>
      </c>
      <c r="AW150" s="23">
        <f t="shared" si="193"/>
        <v>0</v>
      </c>
      <c r="AX150" s="23">
        <f t="shared" si="194"/>
        <v>0</v>
      </c>
      <c r="AY150" s="25" t="s">
        <v>392</v>
      </c>
      <c r="AZ150" s="25" t="s">
        <v>285</v>
      </c>
      <c r="BA150" s="8" t="s">
        <v>62</v>
      </c>
      <c r="BC150" s="23">
        <f t="shared" si="195"/>
        <v>0</v>
      </c>
      <c r="BD150" s="23">
        <f t="shared" si="196"/>
        <v>0</v>
      </c>
      <c r="BE150" s="23">
        <v>0</v>
      </c>
      <c r="BF150" s="23">
        <f>150</f>
        <v>150</v>
      </c>
      <c r="BH150" s="23">
        <f t="shared" si="197"/>
        <v>0</v>
      </c>
      <c r="BI150" s="23">
        <f t="shared" si="198"/>
        <v>0</v>
      </c>
      <c r="BJ150" s="23">
        <f t="shared" si="199"/>
        <v>0</v>
      </c>
      <c r="BK150" s="23"/>
      <c r="BL150" s="23">
        <v>734</v>
      </c>
      <c r="BW150" s="23">
        <v>21</v>
      </c>
    </row>
    <row r="151" spans="1:75" ht="13.5" customHeight="1" x14ac:dyDescent="0.25">
      <c r="A151" s="2" t="s">
        <v>465</v>
      </c>
      <c r="B151" s="3" t="s">
        <v>466</v>
      </c>
      <c r="C151" s="80" t="s">
        <v>467</v>
      </c>
      <c r="D151" s="75"/>
      <c r="E151" s="3" t="s">
        <v>68</v>
      </c>
      <c r="F151" s="23">
        <v>4</v>
      </c>
      <c r="G151" s="23">
        <v>0</v>
      </c>
      <c r="H151" s="23">
        <f t="shared" si="178"/>
        <v>0</v>
      </c>
      <c r="I151" s="23">
        <f t="shared" si="179"/>
        <v>0</v>
      </c>
      <c r="J151" s="23">
        <f t="shared" si="180"/>
        <v>0</v>
      </c>
      <c r="K151" s="23">
        <v>5.0000000000000001E-4</v>
      </c>
      <c r="L151" s="24">
        <v>5.0000000000000001E-4</v>
      </c>
      <c r="Z151" s="23">
        <f t="shared" si="181"/>
        <v>0</v>
      </c>
      <c r="AB151" s="23">
        <f t="shared" si="182"/>
        <v>0</v>
      </c>
      <c r="AC151" s="23">
        <f t="shared" si="183"/>
        <v>0</v>
      </c>
      <c r="AD151" s="23">
        <f t="shared" si="184"/>
        <v>0</v>
      </c>
      <c r="AE151" s="23">
        <f t="shared" si="185"/>
        <v>0</v>
      </c>
      <c r="AF151" s="23">
        <f t="shared" si="186"/>
        <v>0</v>
      </c>
      <c r="AG151" s="23">
        <f t="shared" si="187"/>
        <v>0</v>
      </c>
      <c r="AH151" s="23">
        <f t="shared" si="188"/>
        <v>0</v>
      </c>
      <c r="AI151" s="8" t="s">
        <v>53</v>
      </c>
      <c r="AJ151" s="23">
        <f t="shared" si="189"/>
        <v>0</v>
      </c>
      <c r="AK151" s="23">
        <f t="shared" si="190"/>
        <v>0</v>
      </c>
      <c r="AL151" s="23">
        <f t="shared" si="191"/>
        <v>0</v>
      </c>
      <c r="AN151" s="23">
        <v>21</v>
      </c>
      <c r="AO151" s="23">
        <f>G151*0.856717949</f>
        <v>0</v>
      </c>
      <c r="AP151" s="23">
        <f>G151*(1-0.856717949)</f>
        <v>0</v>
      </c>
      <c r="AQ151" s="25" t="s">
        <v>94</v>
      </c>
      <c r="AV151" s="23">
        <f t="shared" si="192"/>
        <v>0</v>
      </c>
      <c r="AW151" s="23">
        <f t="shared" si="193"/>
        <v>0</v>
      </c>
      <c r="AX151" s="23">
        <f t="shared" si="194"/>
        <v>0</v>
      </c>
      <c r="AY151" s="25" t="s">
        <v>392</v>
      </c>
      <c r="AZ151" s="25" t="s">
        <v>285</v>
      </c>
      <c r="BA151" s="8" t="s">
        <v>62</v>
      </c>
      <c r="BC151" s="23">
        <f t="shared" si="195"/>
        <v>0</v>
      </c>
      <c r="BD151" s="23">
        <f t="shared" si="196"/>
        <v>0</v>
      </c>
      <c r="BE151" s="23">
        <v>0</v>
      </c>
      <c r="BF151" s="23">
        <f>151</f>
        <v>151</v>
      </c>
      <c r="BH151" s="23">
        <f t="shared" si="197"/>
        <v>0</v>
      </c>
      <c r="BI151" s="23">
        <f t="shared" si="198"/>
        <v>0</v>
      </c>
      <c r="BJ151" s="23">
        <f t="shared" si="199"/>
        <v>0</v>
      </c>
      <c r="BK151" s="23"/>
      <c r="BL151" s="23">
        <v>734</v>
      </c>
      <c r="BW151" s="23">
        <v>21</v>
      </c>
    </row>
    <row r="152" spans="1:75" ht="13.5" customHeight="1" x14ac:dyDescent="0.25">
      <c r="A152" s="2" t="s">
        <v>468</v>
      </c>
      <c r="B152" s="3" t="s">
        <v>469</v>
      </c>
      <c r="C152" s="80" t="s">
        <v>470</v>
      </c>
      <c r="D152" s="75"/>
      <c r="E152" s="3" t="s">
        <v>68</v>
      </c>
      <c r="F152" s="23">
        <v>6</v>
      </c>
      <c r="G152" s="23">
        <v>0</v>
      </c>
      <c r="H152" s="23">
        <f t="shared" si="178"/>
        <v>0</v>
      </c>
      <c r="I152" s="23">
        <f t="shared" si="179"/>
        <v>0</v>
      </c>
      <c r="J152" s="23">
        <f t="shared" si="180"/>
        <v>0</v>
      </c>
      <c r="K152" s="23">
        <v>3.1E-4</v>
      </c>
      <c r="L152" s="24">
        <v>3.1E-4</v>
      </c>
      <c r="Z152" s="23">
        <f t="shared" si="181"/>
        <v>0</v>
      </c>
      <c r="AB152" s="23">
        <f t="shared" si="182"/>
        <v>0</v>
      </c>
      <c r="AC152" s="23">
        <f t="shared" si="183"/>
        <v>0</v>
      </c>
      <c r="AD152" s="23">
        <f t="shared" si="184"/>
        <v>0</v>
      </c>
      <c r="AE152" s="23">
        <f t="shared" si="185"/>
        <v>0</v>
      </c>
      <c r="AF152" s="23">
        <f t="shared" si="186"/>
        <v>0</v>
      </c>
      <c r="AG152" s="23">
        <f t="shared" si="187"/>
        <v>0</v>
      </c>
      <c r="AH152" s="23">
        <f t="shared" si="188"/>
        <v>0</v>
      </c>
      <c r="AI152" s="8" t="s">
        <v>53</v>
      </c>
      <c r="AJ152" s="23">
        <f t="shared" si="189"/>
        <v>0</v>
      </c>
      <c r="AK152" s="23">
        <f t="shared" si="190"/>
        <v>0</v>
      </c>
      <c r="AL152" s="23">
        <f t="shared" si="191"/>
        <v>0</v>
      </c>
      <c r="AN152" s="23">
        <v>21</v>
      </c>
      <c r="AO152" s="23">
        <f>G152*0.733149425</f>
        <v>0</v>
      </c>
      <c r="AP152" s="23">
        <f>G152*(1-0.733149425)</f>
        <v>0</v>
      </c>
      <c r="AQ152" s="25" t="s">
        <v>94</v>
      </c>
      <c r="AV152" s="23">
        <f t="shared" si="192"/>
        <v>0</v>
      </c>
      <c r="AW152" s="23">
        <f t="shared" si="193"/>
        <v>0</v>
      </c>
      <c r="AX152" s="23">
        <f t="shared" si="194"/>
        <v>0</v>
      </c>
      <c r="AY152" s="25" t="s">
        <v>392</v>
      </c>
      <c r="AZ152" s="25" t="s">
        <v>285</v>
      </c>
      <c r="BA152" s="8" t="s">
        <v>62</v>
      </c>
      <c r="BC152" s="23">
        <f t="shared" si="195"/>
        <v>0</v>
      </c>
      <c r="BD152" s="23">
        <f t="shared" si="196"/>
        <v>0</v>
      </c>
      <c r="BE152" s="23">
        <v>0</v>
      </c>
      <c r="BF152" s="23">
        <f>152</f>
        <v>152</v>
      </c>
      <c r="BH152" s="23">
        <f t="shared" si="197"/>
        <v>0</v>
      </c>
      <c r="BI152" s="23">
        <f t="shared" si="198"/>
        <v>0</v>
      </c>
      <c r="BJ152" s="23">
        <f t="shared" si="199"/>
        <v>0</v>
      </c>
      <c r="BK152" s="23"/>
      <c r="BL152" s="23">
        <v>734</v>
      </c>
      <c r="BW152" s="23">
        <v>21</v>
      </c>
    </row>
    <row r="153" spans="1:75" ht="13.5" customHeight="1" x14ac:dyDescent="0.25">
      <c r="A153" s="2" t="s">
        <v>471</v>
      </c>
      <c r="B153" s="3" t="s">
        <v>472</v>
      </c>
      <c r="C153" s="80" t="s">
        <v>473</v>
      </c>
      <c r="D153" s="75"/>
      <c r="E153" s="3" t="s">
        <v>68</v>
      </c>
      <c r="F153" s="23">
        <v>1</v>
      </c>
      <c r="G153" s="23">
        <v>0</v>
      </c>
      <c r="H153" s="23">
        <f t="shared" si="178"/>
        <v>0</v>
      </c>
      <c r="I153" s="23">
        <f t="shared" si="179"/>
        <v>0</v>
      </c>
      <c r="J153" s="23">
        <f t="shared" si="180"/>
        <v>0</v>
      </c>
      <c r="K153" s="23">
        <v>1.9000000000000001E-4</v>
      </c>
      <c r="L153" s="24">
        <v>1.9000000000000001E-4</v>
      </c>
      <c r="Z153" s="23">
        <f t="shared" si="181"/>
        <v>0</v>
      </c>
      <c r="AB153" s="23">
        <f t="shared" si="182"/>
        <v>0</v>
      </c>
      <c r="AC153" s="23">
        <f t="shared" si="183"/>
        <v>0</v>
      </c>
      <c r="AD153" s="23">
        <f t="shared" si="184"/>
        <v>0</v>
      </c>
      <c r="AE153" s="23">
        <f t="shared" si="185"/>
        <v>0</v>
      </c>
      <c r="AF153" s="23">
        <f t="shared" si="186"/>
        <v>0</v>
      </c>
      <c r="AG153" s="23">
        <f t="shared" si="187"/>
        <v>0</v>
      </c>
      <c r="AH153" s="23">
        <f t="shared" si="188"/>
        <v>0</v>
      </c>
      <c r="AI153" s="8" t="s">
        <v>53</v>
      </c>
      <c r="AJ153" s="23">
        <f t="shared" si="189"/>
        <v>0</v>
      </c>
      <c r="AK153" s="23">
        <f t="shared" si="190"/>
        <v>0</v>
      </c>
      <c r="AL153" s="23">
        <f t="shared" si="191"/>
        <v>0</v>
      </c>
      <c r="AN153" s="23">
        <v>21</v>
      </c>
      <c r="AO153" s="23">
        <f>G153*0.688823529</f>
        <v>0</v>
      </c>
      <c r="AP153" s="23">
        <f>G153*(1-0.688823529)</f>
        <v>0</v>
      </c>
      <c r="AQ153" s="25" t="s">
        <v>94</v>
      </c>
      <c r="AV153" s="23">
        <f t="shared" si="192"/>
        <v>0</v>
      </c>
      <c r="AW153" s="23">
        <f t="shared" si="193"/>
        <v>0</v>
      </c>
      <c r="AX153" s="23">
        <f t="shared" si="194"/>
        <v>0</v>
      </c>
      <c r="AY153" s="25" t="s">
        <v>392</v>
      </c>
      <c r="AZ153" s="25" t="s">
        <v>285</v>
      </c>
      <c r="BA153" s="8" t="s">
        <v>62</v>
      </c>
      <c r="BC153" s="23">
        <f t="shared" si="195"/>
        <v>0</v>
      </c>
      <c r="BD153" s="23">
        <f t="shared" si="196"/>
        <v>0</v>
      </c>
      <c r="BE153" s="23">
        <v>0</v>
      </c>
      <c r="BF153" s="23">
        <f>153</f>
        <v>153</v>
      </c>
      <c r="BH153" s="23">
        <f t="shared" si="197"/>
        <v>0</v>
      </c>
      <c r="BI153" s="23">
        <f t="shared" si="198"/>
        <v>0</v>
      </c>
      <c r="BJ153" s="23">
        <f t="shared" si="199"/>
        <v>0</v>
      </c>
      <c r="BK153" s="23"/>
      <c r="BL153" s="23">
        <v>734</v>
      </c>
      <c r="BW153" s="23">
        <v>21</v>
      </c>
    </row>
    <row r="154" spans="1:75" ht="13.5" customHeight="1" x14ac:dyDescent="0.25">
      <c r="A154" s="2" t="s">
        <v>474</v>
      </c>
      <c r="B154" s="3" t="s">
        <v>475</v>
      </c>
      <c r="C154" s="80" t="s">
        <v>476</v>
      </c>
      <c r="D154" s="75"/>
      <c r="E154" s="3" t="s">
        <v>68</v>
      </c>
      <c r="F154" s="23">
        <v>12</v>
      </c>
      <c r="G154" s="23">
        <v>0</v>
      </c>
      <c r="H154" s="23">
        <f t="shared" si="178"/>
        <v>0</v>
      </c>
      <c r="I154" s="23">
        <f t="shared" si="179"/>
        <v>0</v>
      </c>
      <c r="J154" s="23">
        <f t="shared" si="180"/>
        <v>0</v>
      </c>
      <c r="K154" s="23">
        <v>1.1E-4</v>
      </c>
      <c r="L154" s="24">
        <v>1.1E-4</v>
      </c>
      <c r="Z154" s="23">
        <f t="shared" si="181"/>
        <v>0</v>
      </c>
      <c r="AB154" s="23">
        <f t="shared" si="182"/>
        <v>0</v>
      </c>
      <c r="AC154" s="23">
        <f t="shared" si="183"/>
        <v>0</v>
      </c>
      <c r="AD154" s="23">
        <f t="shared" si="184"/>
        <v>0</v>
      </c>
      <c r="AE154" s="23">
        <f t="shared" si="185"/>
        <v>0</v>
      </c>
      <c r="AF154" s="23">
        <f t="shared" si="186"/>
        <v>0</v>
      </c>
      <c r="AG154" s="23">
        <f t="shared" si="187"/>
        <v>0</v>
      </c>
      <c r="AH154" s="23">
        <f t="shared" si="188"/>
        <v>0</v>
      </c>
      <c r="AI154" s="8" t="s">
        <v>53</v>
      </c>
      <c r="AJ154" s="23">
        <f t="shared" si="189"/>
        <v>0</v>
      </c>
      <c r="AK154" s="23">
        <f t="shared" si="190"/>
        <v>0</v>
      </c>
      <c r="AL154" s="23">
        <f t="shared" si="191"/>
        <v>0</v>
      </c>
      <c r="AN154" s="23">
        <v>21</v>
      </c>
      <c r="AO154" s="23">
        <f>G154*0.652631579</f>
        <v>0</v>
      </c>
      <c r="AP154" s="23">
        <f>G154*(1-0.652631579)</f>
        <v>0</v>
      </c>
      <c r="AQ154" s="25" t="s">
        <v>94</v>
      </c>
      <c r="AV154" s="23">
        <f t="shared" si="192"/>
        <v>0</v>
      </c>
      <c r="AW154" s="23">
        <f t="shared" si="193"/>
        <v>0</v>
      </c>
      <c r="AX154" s="23">
        <f t="shared" si="194"/>
        <v>0</v>
      </c>
      <c r="AY154" s="25" t="s">
        <v>392</v>
      </c>
      <c r="AZ154" s="25" t="s">
        <v>285</v>
      </c>
      <c r="BA154" s="8" t="s">
        <v>62</v>
      </c>
      <c r="BC154" s="23">
        <f t="shared" si="195"/>
        <v>0</v>
      </c>
      <c r="BD154" s="23">
        <f t="shared" si="196"/>
        <v>0</v>
      </c>
      <c r="BE154" s="23">
        <v>0</v>
      </c>
      <c r="BF154" s="23">
        <f>154</f>
        <v>154</v>
      </c>
      <c r="BH154" s="23">
        <f t="shared" si="197"/>
        <v>0</v>
      </c>
      <c r="BI154" s="23">
        <f t="shared" si="198"/>
        <v>0</v>
      </c>
      <c r="BJ154" s="23">
        <f t="shared" si="199"/>
        <v>0</v>
      </c>
      <c r="BK154" s="23"/>
      <c r="BL154" s="23">
        <v>734</v>
      </c>
      <c r="BW154" s="23">
        <v>21</v>
      </c>
    </row>
    <row r="155" spans="1:75" ht="13.5" customHeight="1" x14ac:dyDescent="0.25">
      <c r="A155" s="2" t="s">
        <v>477</v>
      </c>
      <c r="B155" s="3" t="s">
        <v>478</v>
      </c>
      <c r="C155" s="80" t="s">
        <v>479</v>
      </c>
      <c r="D155" s="75"/>
      <c r="E155" s="3" t="s">
        <v>68</v>
      </c>
      <c r="F155" s="23">
        <v>1</v>
      </c>
      <c r="G155" s="23">
        <v>0</v>
      </c>
      <c r="H155" s="23">
        <f t="shared" si="178"/>
        <v>0</v>
      </c>
      <c r="I155" s="23">
        <f t="shared" si="179"/>
        <v>0</v>
      </c>
      <c r="J155" s="23">
        <f t="shared" si="180"/>
        <v>0</v>
      </c>
      <c r="K155" s="23">
        <v>2.5200000000000001E-3</v>
      </c>
      <c r="L155" s="24">
        <v>2.5200000000000001E-3</v>
      </c>
      <c r="Z155" s="23">
        <f t="shared" si="181"/>
        <v>0</v>
      </c>
      <c r="AB155" s="23">
        <f t="shared" si="182"/>
        <v>0</v>
      </c>
      <c r="AC155" s="23">
        <f t="shared" si="183"/>
        <v>0</v>
      </c>
      <c r="AD155" s="23">
        <f t="shared" si="184"/>
        <v>0</v>
      </c>
      <c r="AE155" s="23">
        <f t="shared" si="185"/>
        <v>0</v>
      </c>
      <c r="AF155" s="23">
        <f t="shared" si="186"/>
        <v>0</v>
      </c>
      <c r="AG155" s="23">
        <f t="shared" si="187"/>
        <v>0</v>
      </c>
      <c r="AH155" s="23">
        <f t="shared" si="188"/>
        <v>0</v>
      </c>
      <c r="AI155" s="8" t="s">
        <v>53</v>
      </c>
      <c r="AJ155" s="23">
        <f t="shared" si="189"/>
        <v>0</v>
      </c>
      <c r="AK155" s="23">
        <f t="shared" si="190"/>
        <v>0</v>
      </c>
      <c r="AL155" s="23">
        <f t="shared" si="191"/>
        <v>0</v>
      </c>
      <c r="AN155" s="23">
        <v>21</v>
      </c>
      <c r="AO155" s="23">
        <f>G155*0.769230769</f>
        <v>0</v>
      </c>
      <c r="AP155" s="23">
        <f>G155*(1-0.769230769)</f>
        <v>0</v>
      </c>
      <c r="AQ155" s="25" t="s">
        <v>94</v>
      </c>
      <c r="AV155" s="23">
        <f t="shared" si="192"/>
        <v>0</v>
      </c>
      <c r="AW155" s="23">
        <f t="shared" si="193"/>
        <v>0</v>
      </c>
      <c r="AX155" s="23">
        <f t="shared" si="194"/>
        <v>0</v>
      </c>
      <c r="AY155" s="25" t="s">
        <v>392</v>
      </c>
      <c r="AZ155" s="25" t="s">
        <v>285</v>
      </c>
      <c r="BA155" s="8" t="s">
        <v>62</v>
      </c>
      <c r="BC155" s="23">
        <f t="shared" si="195"/>
        <v>0</v>
      </c>
      <c r="BD155" s="23">
        <f t="shared" si="196"/>
        <v>0</v>
      </c>
      <c r="BE155" s="23">
        <v>0</v>
      </c>
      <c r="BF155" s="23">
        <f>155</f>
        <v>155</v>
      </c>
      <c r="BH155" s="23">
        <f t="shared" si="197"/>
        <v>0</v>
      </c>
      <c r="BI155" s="23">
        <f t="shared" si="198"/>
        <v>0</v>
      </c>
      <c r="BJ155" s="23">
        <f t="shared" si="199"/>
        <v>0</v>
      </c>
      <c r="BK155" s="23"/>
      <c r="BL155" s="23">
        <v>734</v>
      </c>
      <c r="BW155" s="23">
        <v>21</v>
      </c>
    </row>
    <row r="156" spans="1:75" ht="13.5" customHeight="1" x14ac:dyDescent="0.25">
      <c r="A156" s="2" t="s">
        <v>480</v>
      </c>
      <c r="B156" s="3" t="s">
        <v>478</v>
      </c>
      <c r="C156" s="80" t="s">
        <v>481</v>
      </c>
      <c r="D156" s="75"/>
      <c r="E156" s="3" t="s">
        <v>68</v>
      </c>
      <c r="F156" s="23">
        <v>3</v>
      </c>
      <c r="G156" s="23">
        <v>0</v>
      </c>
      <c r="H156" s="23">
        <f t="shared" si="178"/>
        <v>0</v>
      </c>
      <c r="I156" s="23">
        <f t="shared" si="179"/>
        <v>0</v>
      </c>
      <c r="J156" s="23">
        <f t="shared" si="180"/>
        <v>0</v>
      </c>
      <c r="K156" s="23">
        <v>2.5200000000000001E-3</v>
      </c>
      <c r="L156" s="24">
        <v>2.5200000000000001E-3</v>
      </c>
      <c r="Z156" s="23">
        <f t="shared" si="181"/>
        <v>0</v>
      </c>
      <c r="AB156" s="23">
        <f t="shared" si="182"/>
        <v>0</v>
      </c>
      <c r="AC156" s="23">
        <f t="shared" si="183"/>
        <v>0</v>
      </c>
      <c r="AD156" s="23">
        <f t="shared" si="184"/>
        <v>0</v>
      </c>
      <c r="AE156" s="23">
        <f t="shared" si="185"/>
        <v>0</v>
      </c>
      <c r="AF156" s="23">
        <f t="shared" si="186"/>
        <v>0</v>
      </c>
      <c r="AG156" s="23">
        <f t="shared" si="187"/>
        <v>0</v>
      </c>
      <c r="AH156" s="23">
        <f t="shared" si="188"/>
        <v>0</v>
      </c>
      <c r="AI156" s="8" t="s">
        <v>53</v>
      </c>
      <c r="AJ156" s="23">
        <f t="shared" si="189"/>
        <v>0</v>
      </c>
      <c r="AK156" s="23">
        <f t="shared" si="190"/>
        <v>0</v>
      </c>
      <c r="AL156" s="23">
        <f t="shared" si="191"/>
        <v>0</v>
      </c>
      <c r="AN156" s="23">
        <v>21</v>
      </c>
      <c r="AO156" s="23">
        <f>G156*0.833806012</f>
        <v>0</v>
      </c>
      <c r="AP156" s="23">
        <f>G156*(1-0.833806012)</f>
        <v>0</v>
      </c>
      <c r="AQ156" s="25" t="s">
        <v>94</v>
      </c>
      <c r="AV156" s="23">
        <f t="shared" si="192"/>
        <v>0</v>
      </c>
      <c r="AW156" s="23">
        <f t="shared" si="193"/>
        <v>0</v>
      </c>
      <c r="AX156" s="23">
        <f t="shared" si="194"/>
        <v>0</v>
      </c>
      <c r="AY156" s="25" t="s">
        <v>392</v>
      </c>
      <c r="AZ156" s="25" t="s">
        <v>285</v>
      </c>
      <c r="BA156" s="8" t="s">
        <v>62</v>
      </c>
      <c r="BC156" s="23">
        <f t="shared" si="195"/>
        <v>0</v>
      </c>
      <c r="BD156" s="23">
        <f t="shared" si="196"/>
        <v>0</v>
      </c>
      <c r="BE156" s="23">
        <v>0</v>
      </c>
      <c r="BF156" s="23">
        <f>156</f>
        <v>156</v>
      </c>
      <c r="BH156" s="23">
        <f t="shared" si="197"/>
        <v>0</v>
      </c>
      <c r="BI156" s="23">
        <f t="shared" si="198"/>
        <v>0</v>
      </c>
      <c r="BJ156" s="23">
        <f t="shared" si="199"/>
        <v>0</v>
      </c>
      <c r="BK156" s="23"/>
      <c r="BL156" s="23">
        <v>734</v>
      </c>
      <c r="BW156" s="23">
        <v>21</v>
      </c>
    </row>
    <row r="157" spans="1:75" ht="13.5" customHeight="1" x14ac:dyDescent="0.25">
      <c r="A157" s="2" t="s">
        <v>482</v>
      </c>
      <c r="B157" s="3" t="s">
        <v>478</v>
      </c>
      <c r="C157" s="80" t="s">
        <v>483</v>
      </c>
      <c r="D157" s="75"/>
      <c r="E157" s="3" t="s">
        <v>68</v>
      </c>
      <c r="F157" s="23">
        <v>1</v>
      </c>
      <c r="G157" s="23">
        <v>0</v>
      </c>
      <c r="H157" s="23">
        <f t="shared" si="178"/>
        <v>0</v>
      </c>
      <c r="I157" s="23">
        <f t="shared" si="179"/>
        <v>0</v>
      </c>
      <c r="J157" s="23">
        <f t="shared" si="180"/>
        <v>0</v>
      </c>
      <c r="K157" s="23">
        <v>2.5200000000000001E-3</v>
      </c>
      <c r="L157" s="24">
        <v>2.5200000000000001E-3</v>
      </c>
      <c r="Z157" s="23">
        <f t="shared" si="181"/>
        <v>0</v>
      </c>
      <c r="AB157" s="23">
        <f t="shared" si="182"/>
        <v>0</v>
      </c>
      <c r="AC157" s="23">
        <f t="shared" si="183"/>
        <v>0</v>
      </c>
      <c r="AD157" s="23">
        <f t="shared" si="184"/>
        <v>0</v>
      </c>
      <c r="AE157" s="23">
        <f t="shared" si="185"/>
        <v>0</v>
      </c>
      <c r="AF157" s="23">
        <f t="shared" si="186"/>
        <v>0</v>
      </c>
      <c r="AG157" s="23">
        <f t="shared" si="187"/>
        <v>0</v>
      </c>
      <c r="AH157" s="23">
        <f t="shared" si="188"/>
        <v>0</v>
      </c>
      <c r="AI157" s="8" t="s">
        <v>53</v>
      </c>
      <c r="AJ157" s="23">
        <f t="shared" si="189"/>
        <v>0</v>
      </c>
      <c r="AK157" s="23">
        <f t="shared" si="190"/>
        <v>0</v>
      </c>
      <c r="AL157" s="23">
        <f t="shared" si="191"/>
        <v>0</v>
      </c>
      <c r="AN157" s="23">
        <v>21</v>
      </c>
      <c r="AO157" s="23">
        <f>G157*0.834042553</f>
        <v>0</v>
      </c>
      <c r="AP157" s="23">
        <f>G157*(1-0.834042553)</f>
        <v>0</v>
      </c>
      <c r="AQ157" s="25" t="s">
        <v>94</v>
      </c>
      <c r="AV157" s="23">
        <f t="shared" si="192"/>
        <v>0</v>
      </c>
      <c r="AW157" s="23">
        <f t="shared" si="193"/>
        <v>0</v>
      </c>
      <c r="AX157" s="23">
        <f t="shared" si="194"/>
        <v>0</v>
      </c>
      <c r="AY157" s="25" t="s">
        <v>392</v>
      </c>
      <c r="AZ157" s="25" t="s">
        <v>285</v>
      </c>
      <c r="BA157" s="8" t="s">
        <v>62</v>
      </c>
      <c r="BC157" s="23">
        <f t="shared" si="195"/>
        <v>0</v>
      </c>
      <c r="BD157" s="23">
        <f t="shared" si="196"/>
        <v>0</v>
      </c>
      <c r="BE157" s="23">
        <v>0</v>
      </c>
      <c r="BF157" s="23">
        <f>157</f>
        <v>157</v>
      </c>
      <c r="BH157" s="23">
        <f t="shared" si="197"/>
        <v>0</v>
      </c>
      <c r="BI157" s="23">
        <f t="shared" si="198"/>
        <v>0</v>
      </c>
      <c r="BJ157" s="23">
        <f t="shared" si="199"/>
        <v>0</v>
      </c>
      <c r="BK157" s="23"/>
      <c r="BL157" s="23">
        <v>734</v>
      </c>
      <c r="BW157" s="23">
        <v>21</v>
      </c>
    </row>
    <row r="158" spans="1:75" ht="13.5" customHeight="1" x14ac:dyDescent="0.25">
      <c r="A158" s="2" t="s">
        <v>484</v>
      </c>
      <c r="B158" s="3" t="s">
        <v>478</v>
      </c>
      <c r="C158" s="80" t="s">
        <v>485</v>
      </c>
      <c r="D158" s="75"/>
      <c r="E158" s="3" t="s">
        <v>68</v>
      </c>
      <c r="F158" s="23">
        <v>1</v>
      </c>
      <c r="G158" s="23">
        <v>0</v>
      </c>
      <c r="H158" s="23">
        <f t="shared" si="178"/>
        <v>0</v>
      </c>
      <c r="I158" s="23">
        <f t="shared" si="179"/>
        <v>0</v>
      </c>
      <c r="J158" s="23">
        <f t="shared" si="180"/>
        <v>0</v>
      </c>
      <c r="K158" s="23">
        <v>2.5200000000000001E-3</v>
      </c>
      <c r="L158" s="24">
        <v>2.5200000000000001E-3</v>
      </c>
      <c r="Z158" s="23">
        <f t="shared" si="181"/>
        <v>0</v>
      </c>
      <c r="AB158" s="23">
        <f t="shared" si="182"/>
        <v>0</v>
      </c>
      <c r="AC158" s="23">
        <f t="shared" si="183"/>
        <v>0</v>
      </c>
      <c r="AD158" s="23">
        <f t="shared" si="184"/>
        <v>0</v>
      </c>
      <c r="AE158" s="23">
        <f t="shared" si="185"/>
        <v>0</v>
      </c>
      <c r="AF158" s="23">
        <f t="shared" si="186"/>
        <v>0</v>
      </c>
      <c r="AG158" s="23">
        <f t="shared" si="187"/>
        <v>0</v>
      </c>
      <c r="AH158" s="23">
        <f t="shared" si="188"/>
        <v>0</v>
      </c>
      <c r="AI158" s="8" t="s">
        <v>53</v>
      </c>
      <c r="AJ158" s="23">
        <f t="shared" si="189"/>
        <v>0</v>
      </c>
      <c r="AK158" s="23">
        <f t="shared" si="190"/>
        <v>0</v>
      </c>
      <c r="AL158" s="23">
        <f t="shared" si="191"/>
        <v>0</v>
      </c>
      <c r="AN158" s="23">
        <v>21</v>
      </c>
      <c r="AO158" s="23">
        <f>G158*0.88358209</f>
        <v>0</v>
      </c>
      <c r="AP158" s="23">
        <f>G158*(1-0.88358209)</f>
        <v>0</v>
      </c>
      <c r="AQ158" s="25" t="s">
        <v>94</v>
      </c>
      <c r="AV158" s="23">
        <f t="shared" si="192"/>
        <v>0</v>
      </c>
      <c r="AW158" s="23">
        <f t="shared" si="193"/>
        <v>0</v>
      </c>
      <c r="AX158" s="23">
        <f t="shared" si="194"/>
        <v>0</v>
      </c>
      <c r="AY158" s="25" t="s">
        <v>392</v>
      </c>
      <c r="AZ158" s="25" t="s">
        <v>285</v>
      </c>
      <c r="BA158" s="8" t="s">
        <v>62</v>
      </c>
      <c r="BC158" s="23">
        <f t="shared" si="195"/>
        <v>0</v>
      </c>
      <c r="BD158" s="23">
        <f t="shared" si="196"/>
        <v>0</v>
      </c>
      <c r="BE158" s="23">
        <v>0</v>
      </c>
      <c r="BF158" s="23">
        <f>158</f>
        <v>158</v>
      </c>
      <c r="BH158" s="23">
        <f t="shared" si="197"/>
        <v>0</v>
      </c>
      <c r="BI158" s="23">
        <f t="shared" si="198"/>
        <v>0</v>
      </c>
      <c r="BJ158" s="23">
        <f t="shared" si="199"/>
        <v>0</v>
      </c>
      <c r="BK158" s="23"/>
      <c r="BL158" s="23">
        <v>734</v>
      </c>
      <c r="BW158" s="23">
        <v>21</v>
      </c>
    </row>
    <row r="159" spans="1:75" ht="13.5" customHeight="1" x14ac:dyDescent="0.25">
      <c r="A159" s="2" t="s">
        <v>486</v>
      </c>
      <c r="B159" s="3" t="s">
        <v>487</v>
      </c>
      <c r="C159" s="80" t="s">
        <v>488</v>
      </c>
      <c r="D159" s="75"/>
      <c r="E159" s="3" t="s">
        <v>68</v>
      </c>
      <c r="F159" s="23">
        <v>1</v>
      </c>
      <c r="G159" s="23">
        <v>0</v>
      </c>
      <c r="H159" s="23">
        <f t="shared" si="178"/>
        <v>0</v>
      </c>
      <c r="I159" s="23">
        <f t="shared" si="179"/>
        <v>0</v>
      </c>
      <c r="J159" s="23">
        <f t="shared" si="180"/>
        <v>0</v>
      </c>
      <c r="K159" s="23">
        <v>0</v>
      </c>
      <c r="L159" s="24">
        <v>0</v>
      </c>
      <c r="Z159" s="23">
        <f t="shared" si="181"/>
        <v>0</v>
      </c>
      <c r="AB159" s="23">
        <f t="shared" si="182"/>
        <v>0</v>
      </c>
      <c r="AC159" s="23">
        <f t="shared" si="183"/>
        <v>0</v>
      </c>
      <c r="AD159" s="23">
        <f t="shared" si="184"/>
        <v>0</v>
      </c>
      <c r="AE159" s="23">
        <f t="shared" si="185"/>
        <v>0</v>
      </c>
      <c r="AF159" s="23">
        <f t="shared" si="186"/>
        <v>0</v>
      </c>
      <c r="AG159" s="23">
        <f t="shared" si="187"/>
        <v>0</v>
      </c>
      <c r="AH159" s="23">
        <f t="shared" si="188"/>
        <v>0</v>
      </c>
      <c r="AI159" s="8" t="s">
        <v>53</v>
      </c>
      <c r="AJ159" s="23">
        <f t="shared" si="189"/>
        <v>0</v>
      </c>
      <c r="AK159" s="23">
        <f t="shared" si="190"/>
        <v>0</v>
      </c>
      <c r="AL159" s="23">
        <f t="shared" si="191"/>
        <v>0</v>
      </c>
      <c r="AN159" s="23">
        <v>21</v>
      </c>
      <c r="AO159" s="23">
        <f>G159*0.790322581</f>
        <v>0</v>
      </c>
      <c r="AP159" s="23">
        <f>G159*(1-0.790322581)</f>
        <v>0</v>
      </c>
      <c r="AQ159" s="25" t="s">
        <v>94</v>
      </c>
      <c r="AV159" s="23">
        <f t="shared" si="192"/>
        <v>0</v>
      </c>
      <c r="AW159" s="23">
        <f t="shared" si="193"/>
        <v>0</v>
      </c>
      <c r="AX159" s="23">
        <f t="shared" si="194"/>
        <v>0</v>
      </c>
      <c r="AY159" s="25" t="s">
        <v>392</v>
      </c>
      <c r="AZ159" s="25" t="s">
        <v>285</v>
      </c>
      <c r="BA159" s="8" t="s">
        <v>62</v>
      </c>
      <c r="BC159" s="23">
        <f t="shared" si="195"/>
        <v>0</v>
      </c>
      <c r="BD159" s="23">
        <f t="shared" si="196"/>
        <v>0</v>
      </c>
      <c r="BE159" s="23">
        <v>0</v>
      </c>
      <c r="BF159" s="23">
        <f>159</f>
        <v>159</v>
      </c>
      <c r="BH159" s="23">
        <f t="shared" si="197"/>
        <v>0</v>
      </c>
      <c r="BI159" s="23">
        <f t="shared" si="198"/>
        <v>0</v>
      </c>
      <c r="BJ159" s="23">
        <f t="shared" si="199"/>
        <v>0</v>
      </c>
      <c r="BK159" s="23"/>
      <c r="BL159" s="23">
        <v>734</v>
      </c>
      <c r="BW159" s="23">
        <v>21</v>
      </c>
    </row>
    <row r="160" spans="1:75" ht="13.5" customHeight="1" x14ac:dyDescent="0.25">
      <c r="A160" s="2" t="s">
        <v>489</v>
      </c>
      <c r="B160" s="3" t="s">
        <v>490</v>
      </c>
      <c r="C160" s="80" t="s">
        <v>491</v>
      </c>
      <c r="D160" s="75"/>
      <c r="E160" s="3" t="s">
        <v>68</v>
      </c>
      <c r="F160" s="23">
        <v>1</v>
      </c>
      <c r="G160" s="23">
        <v>0</v>
      </c>
      <c r="H160" s="23">
        <f t="shared" si="178"/>
        <v>0</v>
      </c>
      <c r="I160" s="23">
        <f t="shared" si="179"/>
        <v>0</v>
      </c>
      <c r="J160" s="23">
        <f t="shared" si="180"/>
        <v>0</v>
      </c>
      <c r="K160" s="23">
        <v>4.6000000000000001E-4</v>
      </c>
      <c r="L160" s="24">
        <v>4.6000000000000001E-4</v>
      </c>
      <c r="Z160" s="23">
        <f t="shared" si="181"/>
        <v>0</v>
      </c>
      <c r="AB160" s="23">
        <f t="shared" si="182"/>
        <v>0</v>
      </c>
      <c r="AC160" s="23">
        <f t="shared" si="183"/>
        <v>0</v>
      </c>
      <c r="AD160" s="23">
        <f t="shared" si="184"/>
        <v>0</v>
      </c>
      <c r="AE160" s="23">
        <f t="shared" si="185"/>
        <v>0</v>
      </c>
      <c r="AF160" s="23">
        <f t="shared" si="186"/>
        <v>0</v>
      </c>
      <c r="AG160" s="23">
        <f t="shared" si="187"/>
        <v>0</v>
      </c>
      <c r="AH160" s="23">
        <f t="shared" si="188"/>
        <v>0</v>
      </c>
      <c r="AI160" s="8" t="s">
        <v>53</v>
      </c>
      <c r="AJ160" s="23">
        <f t="shared" si="189"/>
        <v>0</v>
      </c>
      <c r="AK160" s="23">
        <f t="shared" si="190"/>
        <v>0</v>
      </c>
      <c r="AL160" s="23">
        <f t="shared" si="191"/>
        <v>0</v>
      </c>
      <c r="AN160" s="23">
        <v>21</v>
      </c>
      <c r="AO160" s="23">
        <f>G160*0.918220947</f>
        <v>0</v>
      </c>
      <c r="AP160" s="23">
        <f>G160*(1-0.918220947)</f>
        <v>0</v>
      </c>
      <c r="AQ160" s="25" t="s">
        <v>94</v>
      </c>
      <c r="AV160" s="23">
        <f t="shared" si="192"/>
        <v>0</v>
      </c>
      <c r="AW160" s="23">
        <f t="shared" si="193"/>
        <v>0</v>
      </c>
      <c r="AX160" s="23">
        <f t="shared" si="194"/>
        <v>0</v>
      </c>
      <c r="AY160" s="25" t="s">
        <v>392</v>
      </c>
      <c r="AZ160" s="25" t="s">
        <v>285</v>
      </c>
      <c r="BA160" s="8" t="s">
        <v>62</v>
      </c>
      <c r="BC160" s="23">
        <f t="shared" si="195"/>
        <v>0</v>
      </c>
      <c r="BD160" s="23">
        <f t="shared" si="196"/>
        <v>0</v>
      </c>
      <c r="BE160" s="23">
        <v>0</v>
      </c>
      <c r="BF160" s="23">
        <f>160</f>
        <v>160</v>
      </c>
      <c r="BH160" s="23">
        <f t="shared" si="197"/>
        <v>0</v>
      </c>
      <c r="BI160" s="23">
        <f t="shared" si="198"/>
        <v>0</v>
      </c>
      <c r="BJ160" s="23">
        <f t="shared" si="199"/>
        <v>0</v>
      </c>
      <c r="BK160" s="23"/>
      <c r="BL160" s="23">
        <v>734</v>
      </c>
      <c r="BW160" s="23">
        <v>21</v>
      </c>
    </row>
    <row r="161" spans="1:75" ht="27" customHeight="1" x14ac:dyDescent="0.25">
      <c r="A161" s="2" t="s">
        <v>492</v>
      </c>
      <c r="B161" s="3" t="s">
        <v>493</v>
      </c>
      <c r="C161" s="80" t="s">
        <v>494</v>
      </c>
      <c r="D161" s="75"/>
      <c r="E161" s="3" t="s">
        <v>68</v>
      </c>
      <c r="F161" s="23">
        <v>1</v>
      </c>
      <c r="G161" s="23">
        <v>0</v>
      </c>
      <c r="H161" s="23">
        <f t="shared" si="178"/>
        <v>0</v>
      </c>
      <c r="I161" s="23">
        <f t="shared" si="179"/>
        <v>0</v>
      </c>
      <c r="J161" s="23">
        <f t="shared" si="180"/>
        <v>0</v>
      </c>
      <c r="K161" s="23">
        <v>0</v>
      </c>
      <c r="L161" s="24">
        <v>0</v>
      </c>
      <c r="Z161" s="23">
        <f t="shared" si="181"/>
        <v>0</v>
      </c>
      <c r="AB161" s="23">
        <f t="shared" si="182"/>
        <v>0</v>
      </c>
      <c r="AC161" s="23">
        <f t="shared" si="183"/>
        <v>0</v>
      </c>
      <c r="AD161" s="23">
        <f t="shared" si="184"/>
        <v>0</v>
      </c>
      <c r="AE161" s="23">
        <f t="shared" si="185"/>
        <v>0</v>
      </c>
      <c r="AF161" s="23">
        <f t="shared" si="186"/>
        <v>0</v>
      </c>
      <c r="AG161" s="23">
        <f t="shared" si="187"/>
        <v>0</v>
      </c>
      <c r="AH161" s="23">
        <f t="shared" si="188"/>
        <v>0</v>
      </c>
      <c r="AI161" s="8" t="s">
        <v>53</v>
      </c>
      <c r="AJ161" s="23">
        <f t="shared" si="189"/>
        <v>0</v>
      </c>
      <c r="AK161" s="23">
        <f t="shared" si="190"/>
        <v>0</v>
      </c>
      <c r="AL161" s="23">
        <f t="shared" si="191"/>
        <v>0</v>
      </c>
      <c r="AN161" s="23">
        <v>21</v>
      </c>
      <c r="AO161" s="23">
        <f>G161*0.979292138</f>
        <v>0</v>
      </c>
      <c r="AP161" s="23">
        <f>G161*(1-0.979292138)</f>
        <v>0</v>
      </c>
      <c r="AQ161" s="25" t="s">
        <v>94</v>
      </c>
      <c r="AV161" s="23">
        <f t="shared" si="192"/>
        <v>0</v>
      </c>
      <c r="AW161" s="23">
        <f t="shared" si="193"/>
        <v>0</v>
      </c>
      <c r="AX161" s="23">
        <f t="shared" si="194"/>
        <v>0</v>
      </c>
      <c r="AY161" s="25" t="s">
        <v>392</v>
      </c>
      <c r="AZ161" s="25" t="s">
        <v>285</v>
      </c>
      <c r="BA161" s="8" t="s">
        <v>62</v>
      </c>
      <c r="BC161" s="23">
        <f t="shared" si="195"/>
        <v>0</v>
      </c>
      <c r="BD161" s="23">
        <f t="shared" si="196"/>
        <v>0</v>
      </c>
      <c r="BE161" s="23">
        <v>0</v>
      </c>
      <c r="BF161" s="23">
        <f>161</f>
        <v>161</v>
      </c>
      <c r="BH161" s="23">
        <f t="shared" si="197"/>
        <v>0</v>
      </c>
      <c r="BI161" s="23">
        <f t="shared" si="198"/>
        <v>0</v>
      </c>
      <c r="BJ161" s="23">
        <f t="shared" si="199"/>
        <v>0</v>
      </c>
      <c r="BK161" s="23"/>
      <c r="BL161" s="23">
        <v>734</v>
      </c>
      <c r="BW161" s="23">
        <v>21</v>
      </c>
    </row>
    <row r="162" spans="1:75" ht="27" customHeight="1" x14ac:dyDescent="0.25">
      <c r="A162" s="2" t="s">
        <v>495</v>
      </c>
      <c r="B162" s="3" t="s">
        <v>496</v>
      </c>
      <c r="C162" s="80" t="s">
        <v>497</v>
      </c>
      <c r="D162" s="75"/>
      <c r="E162" s="3" t="s">
        <v>68</v>
      </c>
      <c r="F162" s="23">
        <v>1</v>
      </c>
      <c r="G162" s="23">
        <v>0</v>
      </c>
      <c r="H162" s="23">
        <f t="shared" si="178"/>
        <v>0</v>
      </c>
      <c r="I162" s="23">
        <f t="shared" si="179"/>
        <v>0</v>
      </c>
      <c r="J162" s="23">
        <f t="shared" si="180"/>
        <v>0</v>
      </c>
      <c r="K162" s="23">
        <v>0</v>
      </c>
      <c r="L162" s="24">
        <v>0</v>
      </c>
      <c r="Z162" s="23">
        <f t="shared" si="181"/>
        <v>0</v>
      </c>
      <c r="AB162" s="23">
        <f t="shared" si="182"/>
        <v>0</v>
      </c>
      <c r="AC162" s="23">
        <f t="shared" si="183"/>
        <v>0</v>
      </c>
      <c r="AD162" s="23">
        <f t="shared" si="184"/>
        <v>0</v>
      </c>
      <c r="AE162" s="23">
        <f t="shared" si="185"/>
        <v>0</v>
      </c>
      <c r="AF162" s="23">
        <f t="shared" si="186"/>
        <v>0</v>
      </c>
      <c r="AG162" s="23">
        <f t="shared" si="187"/>
        <v>0</v>
      </c>
      <c r="AH162" s="23">
        <f t="shared" si="188"/>
        <v>0</v>
      </c>
      <c r="AI162" s="8" t="s">
        <v>53</v>
      </c>
      <c r="AJ162" s="23">
        <f t="shared" si="189"/>
        <v>0</v>
      </c>
      <c r="AK162" s="23">
        <f t="shared" si="190"/>
        <v>0</v>
      </c>
      <c r="AL162" s="23">
        <f t="shared" si="191"/>
        <v>0</v>
      </c>
      <c r="AN162" s="23">
        <v>21</v>
      </c>
      <c r="AO162" s="23">
        <f>G162*0.976814899</f>
        <v>0</v>
      </c>
      <c r="AP162" s="23">
        <f>G162*(1-0.976814899)</f>
        <v>0</v>
      </c>
      <c r="AQ162" s="25" t="s">
        <v>94</v>
      </c>
      <c r="AV162" s="23">
        <f t="shared" si="192"/>
        <v>0</v>
      </c>
      <c r="AW162" s="23">
        <f t="shared" si="193"/>
        <v>0</v>
      </c>
      <c r="AX162" s="23">
        <f t="shared" si="194"/>
        <v>0</v>
      </c>
      <c r="AY162" s="25" t="s">
        <v>392</v>
      </c>
      <c r="AZ162" s="25" t="s">
        <v>285</v>
      </c>
      <c r="BA162" s="8" t="s">
        <v>62</v>
      </c>
      <c r="BC162" s="23">
        <f t="shared" si="195"/>
        <v>0</v>
      </c>
      <c r="BD162" s="23">
        <f t="shared" si="196"/>
        <v>0</v>
      </c>
      <c r="BE162" s="23">
        <v>0</v>
      </c>
      <c r="BF162" s="23">
        <f>162</f>
        <v>162</v>
      </c>
      <c r="BH162" s="23">
        <f t="shared" si="197"/>
        <v>0</v>
      </c>
      <c r="BI162" s="23">
        <f t="shared" si="198"/>
        <v>0</v>
      </c>
      <c r="BJ162" s="23">
        <f t="shared" si="199"/>
        <v>0</v>
      </c>
      <c r="BK162" s="23"/>
      <c r="BL162" s="23">
        <v>734</v>
      </c>
      <c r="BW162" s="23">
        <v>21</v>
      </c>
    </row>
    <row r="163" spans="1:75" ht="13.5" customHeight="1" x14ac:dyDescent="0.25">
      <c r="A163" s="2" t="s">
        <v>498</v>
      </c>
      <c r="B163" s="3" t="s">
        <v>499</v>
      </c>
      <c r="C163" s="80" t="s">
        <v>500</v>
      </c>
      <c r="D163" s="75"/>
      <c r="E163" s="3" t="s">
        <v>68</v>
      </c>
      <c r="F163" s="23">
        <v>2</v>
      </c>
      <c r="G163" s="23">
        <v>0</v>
      </c>
      <c r="H163" s="23">
        <f t="shared" si="178"/>
        <v>0</v>
      </c>
      <c r="I163" s="23">
        <f t="shared" si="179"/>
        <v>0</v>
      </c>
      <c r="J163" s="23">
        <f t="shared" si="180"/>
        <v>0</v>
      </c>
      <c r="K163" s="23">
        <v>0</v>
      </c>
      <c r="L163" s="24">
        <v>0</v>
      </c>
      <c r="Z163" s="23">
        <f t="shared" si="181"/>
        <v>0</v>
      </c>
      <c r="AB163" s="23">
        <f t="shared" si="182"/>
        <v>0</v>
      </c>
      <c r="AC163" s="23">
        <f t="shared" si="183"/>
        <v>0</v>
      </c>
      <c r="AD163" s="23">
        <f t="shared" si="184"/>
        <v>0</v>
      </c>
      <c r="AE163" s="23">
        <f t="shared" si="185"/>
        <v>0</v>
      </c>
      <c r="AF163" s="23">
        <f t="shared" si="186"/>
        <v>0</v>
      </c>
      <c r="AG163" s="23">
        <f t="shared" si="187"/>
        <v>0</v>
      </c>
      <c r="AH163" s="23">
        <f t="shared" si="188"/>
        <v>0</v>
      </c>
      <c r="AI163" s="8" t="s">
        <v>53</v>
      </c>
      <c r="AJ163" s="23">
        <f t="shared" si="189"/>
        <v>0</v>
      </c>
      <c r="AK163" s="23">
        <f t="shared" si="190"/>
        <v>0</v>
      </c>
      <c r="AL163" s="23">
        <f t="shared" si="191"/>
        <v>0</v>
      </c>
      <c r="AN163" s="23">
        <v>21</v>
      </c>
      <c r="AO163" s="23">
        <f>G163*0.9711365</f>
        <v>0</v>
      </c>
      <c r="AP163" s="23">
        <f>G163*(1-0.9711365)</f>
        <v>0</v>
      </c>
      <c r="AQ163" s="25" t="s">
        <v>94</v>
      </c>
      <c r="AV163" s="23">
        <f t="shared" si="192"/>
        <v>0</v>
      </c>
      <c r="AW163" s="23">
        <f t="shared" si="193"/>
        <v>0</v>
      </c>
      <c r="AX163" s="23">
        <f t="shared" si="194"/>
        <v>0</v>
      </c>
      <c r="AY163" s="25" t="s">
        <v>392</v>
      </c>
      <c r="AZ163" s="25" t="s">
        <v>285</v>
      </c>
      <c r="BA163" s="8" t="s">
        <v>62</v>
      </c>
      <c r="BC163" s="23">
        <f t="shared" si="195"/>
        <v>0</v>
      </c>
      <c r="BD163" s="23">
        <f t="shared" si="196"/>
        <v>0</v>
      </c>
      <c r="BE163" s="23">
        <v>0</v>
      </c>
      <c r="BF163" s="23">
        <f>163</f>
        <v>163</v>
      </c>
      <c r="BH163" s="23">
        <f t="shared" si="197"/>
        <v>0</v>
      </c>
      <c r="BI163" s="23">
        <f t="shared" si="198"/>
        <v>0</v>
      </c>
      <c r="BJ163" s="23">
        <f t="shared" si="199"/>
        <v>0</v>
      </c>
      <c r="BK163" s="23"/>
      <c r="BL163" s="23">
        <v>734</v>
      </c>
      <c r="BW163" s="23">
        <v>21</v>
      </c>
    </row>
    <row r="164" spans="1:75" ht="13.5" customHeight="1" x14ac:dyDescent="0.25">
      <c r="A164" s="2" t="s">
        <v>501</v>
      </c>
      <c r="B164" s="3" t="s">
        <v>502</v>
      </c>
      <c r="C164" s="80" t="s">
        <v>503</v>
      </c>
      <c r="D164" s="75"/>
      <c r="E164" s="3" t="s">
        <v>68</v>
      </c>
      <c r="F164" s="23">
        <v>3</v>
      </c>
      <c r="G164" s="23">
        <v>0</v>
      </c>
      <c r="H164" s="23">
        <f t="shared" si="178"/>
        <v>0</v>
      </c>
      <c r="I164" s="23">
        <f t="shared" si="179"/>
        <v>0</v>
      </c>
      <c r="J164" s="23">
        <f t="shared" si="180"/>
        <v>0</v>
      </c>
      <c r="K164" s="23">
        <v>3.4000000000000002E-4</v>
      </c>
      <c r="L164" s="24">
        <v>3.4000000000000002E-4</v>
      </c>
      <c r="Z164" s="23">
        <f t="shared" si="181"/>
        <v>0</v>
      </c>
      <c r="AB164" s="23">
        <f t="shared" si="182"/>
        <v>0</v>
      </c>
      <c r="AC164" s="23">
        <f t="shared" si="183"/>
        <v>0</v>
      </c>
      <c r="AD164" s="23">
        <f t="shared" si="184"/>
        <v>0</v>
      </c>
      <c r="AE164" s="23">
        <f t="shared" si="185"/>
        <v>0</v>
      </c>
      <c r="AF164" s="23">
        <f t="shared" si="186"/>
        <v>0</v>
      </c>
      <c r="AG164" s="23">
        <f t="shared" si="187"/>
        <v>0</v>
      </c>
      <c r="AH164" s="23">
        <f t="shared" si="188"/>
        <v>0</v>
      </c>
      <c r="AI164" s="8" t="s">
        <v>53</v>
      </c>
      <c r="AJ164" s="23">
        <f t="shared" si="189"/>
        <v>0</v>
      </c>
      <c r="AK164" s="23">
        <f t="shared" si="190"/>
        <v>0</v>
      </c>
      <c r="AL164" s="23">
        <f t="shared" si="191"/>
        <v>0</v>
      </c>
      <c r="AN164" s="23">
        <v>21</v>
      </c>
      <c r="AO164" s="23">
        <f>G164*0.882352941</f>
        <v>0</v>
      </c>
      <c r="AP164" s="23">
        <f>G164*(1-0.882352941)</f>
        <v>0</v>
      </c>
      <c r="AQ164" s="25" t="s">
        <v>94</v>
      </c>
      <c r="AV164" s="23">
        <f t="shared" si="192"/>
        <v>0</v>
      </c>
      <c r="AW164" s="23">
        <f t="shared" si="193"/>
        <v>0</v>
      </c>
      <c r="AX164" s="23">
        <f t="shared" si="194"/>
        <v>0</v>
      </c>
      <c r="AY164" s="25" t="s">
        <v>392</v>
      </c>
      <c r="AZ164" s="25" t="s">
        <v>285</v>
      </c>
      <c r="BA164" s="8" t="s">
        <v>62</v>
      </c>
      <c r="BC164" s="23">
        <f t="shared" si="195"/>
        <v>0</v>
      </c>
      <c r="BD164" s="23">
        <f t="shared" si="196"/>
        <v>0</v>
      </c>
      <c r="BE164" s="23">
        <v>0</v>
      </c>
      <c r="BF164" s="23">
        <f>164</f>
        <v>164</v>
      </c>
      <c r="BH164" s="23">
        <f t="shared" si="197"/>
        <v>0</v>
      </c>
      <c r="BI164" s="23">
        <f t="shared" si="198"/>
        <v>0</v>
      </c>
      <c r="BJ164" s="23">
        <f t="shared" si="199"/>
        <v>0</v>
      </c>
      <c r="BK164" s="23"/>
      <c r="BL164" s="23">
        <v>734</v>
      </c>
      <c r="BW164" s="23">
        <v>21</v>
      </c>
    </row>
    <row r="165" spans="1:75" ht="13.5" customHeight="1" x14ac:dyDescent="0.25">
      <c r="A165" s="2" t="s">
        <v>504</v>
      </c>
      <c r="B165" s="3" t="s">
        <v>502</v>
      </c>
      <c r="C165" s="80" t="s">
        <v>505</v>
      </c>
      <c r="D165" s="75"/>
      <c r="E165" s="3" t="s">
        <v>68</v>
      </c>
      <c r="F165" s="23">
        <v>1</v>
      </c>
      <c r="G165" s="23">
        <v>0</v>
      </c>
      <c r="H165" s="23">
        <f t="shared" si="178"/>
        <v>0</v>
      </c>
      <c r="I165" s="23">
        <f t="shared" si="179"/>
        <v>0</v>
      </c>
      <c r="J165" s="23">
        <f t="shared" si="180"/>
        <v>0</v>
      </c>
      <c r="K165" s="23">
        <v>3.4000000000000002E-4</v>
      </c>
      <c r="L165" s="24">
        <v>3.4000000000000002E-4</v>
      </c>
      <c r="Z165" s="23">
        <f t="shared" si="181"/>
        <v>0</v>
      </c>
      <c r="AB165" s="23">
        <f t="shared" si="182"/>
        <v>0</v>
      </c>
      <c r="AC165" s="23">
        <f t="shared" si="183"/>
        <v>0</v>
      </c>
      <c r="AD165" s="23">
        <f t="shared" si="184"/>
        <v>0</v>
      </c>
      <c r="AE165" s="23">
        <f t="shared" si="185"/>
        <v>0</v>
      </c>
      <c r="AF165" s="23">
        <f t="shared" si="186"/>
        <v>0</v>
      </c>
      <c r="AG165" s="23">
        <f t="shared" si="187"/>
        <v>0</v>
      </c>
      <c r="AH165" s="23">
        <f t="shared" si="188"/>
        <v>0</v>
      </c>
      <c r="AI165" s="8" t="s">
        <v>53</v>
      </c>
      <c r="AJ165" s="23">
        <f t="shared" si="189"/>
        <v>0</v>
      </c>
      <c r="AK165" s="23">
        <f t="shared" si="190"/>
        <v>0</v>
      </c>
      <c r="AL165" s="23">
        <f t="shared" si="191"/>
        <v>0</v>
      </c>
      <c r="AN165" s="23">
        <v>21</v>
      </c>
      <c r="AO165" s="23">
        <f>G165*0.882352941</f>
        <v>0</v>
      </c>
      <c r="AP165" s="23">
        <f>G165*(1-0.882352941)</f>
        <v>0</v>
      </c>
      <c r="AQ165" s="25" t="s">
        <v>94</v>
      </c>
      <c r="AV165" s="23">
        <f t="shared" si="192"/>
        <v>0</v>
      </c>
      <c r="AW165" s="23">
        <f t="shared" si="193"/>
        <v>0</v>
      </c>
      <c r="AX165" s="23">
        <f t="shared" si="194"/>
        <v>0</v>
      </c>
      <c r="AY165" s="25" t="s">
        <v>392</v>
      </c>
      <c r="AZ165" s="25" t="s">
        <v>285</v>
      </c>
      <c r="BA165" s="8" t="s">
        <v>62</v>
      </c>
      <c r="BC165" s="23">
        <f t="shared" si="195"/>
        <v>0</v>
      </c>
      <c r="BD165" s="23">
        <f t="shared" si="196"/>
        <v>0</v>
      </c>
      <c r="BE165" s="23">
        <v>0</v>
      </c>
      <c r="BF165" s="23">
        <f>165</f>
        <v>165</v>
      </c>
      <c r="BH165" s="23">
        <f t="shared" si="197"/>
        <v>0</v>
      </c>
      <c r="BI165" s="23">
        <f t="shared" si="198"/>
        <v>0</v>
      </c>
      <c r="BJ165" s="23">
        <f t="shared" si="199"/>
        <v>0</v>
      </c>
      <c r="BK165" s="23"/>
      <c r="BL165" s="23">
        <v>734</v>
      </c>
      <c r="BW165" s="23">
        <v>21</v>
      </c>
    </row>
    <row r="166" spans="1:75" ht="13.5" customHeight="1" x14ac:dyDescent="0.25">
      <c r="A166" s="2" t="s">
        <v>506</v>
      </c>
      <c r="B166" s="3" t="s">
        <v>507</v>
      </c>
      <c r="C166" s="80" t="s">
        <v>508</v>
      </c>
      <c r="D166" s="75"/>
      <c r="E166" s="3" t="s">
        <v>68</v>
      </c>
      <c r="F166" s="23">
        <v>1</v>
      </c>
      <c r="G166" s="23">
        <v>0</v>
      </c>
      <c r="H166" s="23">
        <f t="shared" si="178"/>
        <v>0</v>
      </c>
      <c r="I166" s="23">
        <f t="shared" si="179"/>
        <v>0</v>
      </c>
      <c r="J166" s="23">
        <f t="shared" si="180"/>
        <v>0</v>
      </c>
      <c r="K166" s="23">
        <v>2.1000000000000001E-4</v>
      </c>
      <c r="L166" s="24">
        <v>2.1000000000000001E-4</v>
      </c>
      <c r="Z166" s="23">
        <f t="shared" si="181"/>
        <v>0</v>
      </c>
      <c r="AB166" s="23">
        <f t="shared" si="182"/>
        <v>0</v>
      </c>
      <c r="AC166" s="23">
        <f t="shared" si="183"/>
        <v>0</v>
      </c>
      <c r="AD166" s="23">
        <f t="shared" si="184"/>
        <v>0</v>
      </c>
      <c r="AE166" s="23">
        <f t="shared" si="185"/>
        <v>0</v>
      </c>
      <c r="AF166" s="23">
        <f t="shared" si="186"/>
        <v>0</v>
      </c>
      <c r="AG166" s="23">
        <f t="shared" si="187"/>
        <v>0</v>
      </c>
      <c r="AH166" s="23">
        <f t="shared" si="188"/>
        <v>0</v>
      </c>
      <c r="AI166" s="8" t="s">
        <v>53</v>
      </c>
      <c r="AJ166" s="23">
        <f t="shared" si="189"/>
        <v>0</v>
      </c>
      <c r="AK166" s="23">
        <f t="shared" si="190"/>
        <v>0</v>
      </c>
      <c r="AL166" s="23">
        <f t="shared" si="191"/>
        <v>0</v>
      </c>
      <c r="AN166" s="23">
        <v>21</v>
      </c>
      <c r="AO166" s="23">
        <f>G166*0.87667162</f>
        <v>0</v>
      </c>
      <c r="AP166" s="23">
        <f>G166*(1-0.87667162)</f>
        <v>0</v>
      </c>
      <c r="AQ166" s="25" t="s">
        <v>94</v>
      </c>
      <c r="AV166" s="23">
        <f t="shared" si="192"/>
        <v>0</v>
      </c>
      <c r="AW166" s="23">
        <f t="shared" si="193"/>
        <v>0</v>
      </c>
      <c r="AX166" s="23">
        <f t="shared" si="194"/>
        <v>0</v>
      </c>
      <c r="AY166" s="25" t="s">
        <v>392</v>
      </c>
      <c r="AZ166" s="25" t="s">
        <v>285</v>
      </c>
      <c r="BA166" s="8" t="s">
        <v>62</v>
      </c>
      <c r="BC166" s="23">
        <f t="shared" si="195"/>
        <v>0</v>
      </c>
      <c r="BD166" s="23">
        <f t="shared" si="196"/>
        <v>0</v>
      </c>
      <c r="BE166" s="23">
        <v>0</v>
      </c>
      <c r="BF166" s="23">
        <f>166</f>
        <v>166</v>
      </c>
      <c r="BH166" s="23">
        <f t="shared" si="197"/>
        <v>0</v>
      </c>
      <c r="BI166" s="23">
        <f t="shared" si="198"/>
        <v>0</v>
      </c>
      <c r="BJ166" s="23">
        <f t="shared" si="199"/>
        <v>0</v>
      </c>
      <c r="BK166" s="23"/>
      <c r="BL166" s="23">
        <v>734</v>
      </c>
      <c r="BW166" s="23">
        <v>21</v>
      </c>
    </row>
    <row r="167" spans="1:75" ht="13.5" customHeight="1" x14ac:dyDescent="0.25">
      <c r="A167" s="2" t="s">
        <v>509</v>
      </c>
      <c r="B167" s="3" t="s">
        <v>510</v>
      </c>
      <c r="C167" s="80" t="s">
        <v>511</v>
      </c>
      <c r="D167" s="75"/>
      <c r="E167" s="3" t="s">
        <v>68</v>
      </c>
      <c r="F167" s="23">
        <v>1</v>
      </c>
      <c r="G167" s="23">
        <v>0</v>
      </c>
      <c r="H167" s="23">
        <f t="shared" si="178"/>
        <v>0</v>
      </c>
      <c r="I167" s="23">
        <f t="shared" si="179"/>
        <v>0</v>
      </c>
      <c r="J167" s="23">
        <f t="shared" si="180"/>
        <v>0</v>
      </c>
      <c r="K167" s="23">
        <v>6.7000000000000002E-4</v>
      </c>
      <c r="L167" s="24">
        <v>6.7000000000000002E-4</v>
      </c>
      <c r="Z167" s="23">
        <f t="shared" si="181"/>
        <v>0</v>
      </c>
      <c r="AB167" s="23">
        <f t="shared" si="182"/>
        <v>0</v>
      </c>
      <c r="AC167" s="23">
        <f t="shared" si="183"/>
        <v>0</v>
      </c>
      <c r="AD167" s="23">
        <f t="shared" si="184"/>
        <v>0</v>
      </c>
      <c r="AE167" s="23">
        <f t="shared" si="185"/>
        <v>0</v>
      </c>
      <c r="AF167" s="23">
        <f t="shared" si="186"/>
        <v>0</v>
      </c>
      <c r="AG167" s="23">
        <f t="shared" si="187"/>
        <v>0</v>
      </c>
      <c r="AH167" s="23">
        <f t="shared" si="188"/>
        <v>0</v>
      </c>
      <c r="AI167" s="8" t="s">
        <v>53</v>
      </c>
      <c r="AJ167" s="23">
        <f t="shared" si="189"/>
        <v>0</v>
      </c>
      <c r="AK167" s="23">
        <f t="shared" si="190"/>
        <v>0</v>
      </c>
      <c r="AL167" s="23">
        <f t="shared" si="191"/>
        <v>0</v>
      </c>
      <c r="AN167" s="23">
        <v>21</v>
      </c>
      <c r="AO167" s="23">
        <f>G167*0.927731092</f>
        <v>0</v>
      </c>
      <c r="AP167" s="23">
        <f>G167*(1-0.927731092)</f>
        <v>0</v>
      </c>
      <c r="AQ167" s="25" t="s">
        <v>94</v>
      </c>
      <c r="AV167" s="23">
        <f t="shared" si="192"/>
        <v>0</v>
      </c>
      <c r="AW167" s="23">
        <f t="shared" si="193"/>
        <v>0</v>
      </c>
      <c r="AX167" s="23">
        <f t="shared" si="194"/>
        <v>0</v>
      </c>
      <c r="AY167" s="25" t="s">
        <v>392</v>
      </c>
      <c r="AZ167" s="25" t="s">
        <v>285</v>
      </c>
      <c r="BA167" s="8" t="s">
        <v>62</v>
      </c>
      <c r="BC167" s="23">
        <f t="shared" si="195"/>
        <v>0</v>
      </c>
      <c r="BD167" s="23">
        <f t="shared" si="196"/>
        <v>0</v>
      </c>
      <c r="BE167" s="23">
        <v>0</v>
      </c>
      <c r="BF167" s="23">
        <f>167</f>
        <v>167</v>
      </c>
      <c r="BH167" s="23">
        <f t="shared" si="197"/>
        <v>0</v>
      </c>
      <c r="BI167" s="23">
        <f t="shared" si="198"/>
        <v>0</v>
      </c>
      <c r="BJ167" s="23">
        <f t="shared" si="199"/>
        <v>0</v>
      </c>
      <c r="BK167" s="23"/>
      <c r="BL167" s="23">
        <v>734</v>
      </c>
      <c r="BW167" s="23">
        <v>21</v>
      </c>
    </row>
    <row r="168" spans="1:75" x14ac:dyDescent="0.25">
      <c r="A168" s="26" t="s">
        <v>53</v>
      </c>
      <c r="B168" s="27" t="s">
        <v>512</v>
      </c>
      <c r="C168" s="98" t="s">
        <v>513</v>
      </c>
      <c r="D168" s="99"/>
      <c r="E168" s="28" t="s">
        <v>10</v>
      </c>
      <c r="F168" s="28" t="s">
        <v>10</v>
      </c>
      <c r="G168" s="28" t="s">
        <v>10</v>
      </c>
      <c r="H168" s="1">
        <f>SUM(H169:H170)</f>
        <v>0</v>
      </c>
      <c r="I168" s="1">
        <f>SUM(I169:I170)</f>
        <v>0</v>
      </c>
      <c r="J168" s="1">
        <f>SUM(J169:J170)</f>
        <v>0</v>
      </c>
      <c r="K168" s="8" t="s">
        <v>53</v>
      </c>
      <c r="L168" s="29" t="s">
        <v>53</v>
      </c>
      <c r="AI168" s="8" t="s">
        <v>53</v>
      </c>
      <c r="AS168" s="1">
        <f>SUM(AJ169:AJ170)</f>
        <v>0</v>
      </c>
      <c r="AT168" s="1">
        <f>SUM(AK169:AK170)</f>
        <v>0</v>
      </c>
      <c r="AU168" s="1">
        <f>SUM(AL169:AL170)</f>
        <v>0</v>
      </c>
    </row>
    <row r="169" spans="1:75" ht="13.5" customHeight="1" x14ac:dyDescent="0.25">
      <c r="A169" s="2" t="s">
        <v>514</v>
      </c>
      <c r="B169" s="3" t="s">
        <v>515</v>
      </c>
      <c r="C169" s="80" t="s">
        <v>516</v>
      </c>
      <c r="D169" s="75"/>
      <c r="E169" s="3" t="s">
        <v>88</v>
      </c>
      <c r="F169" s="23">
        <v>400</v>
      </c>
      <c r="G169" s="23">
        <v>0</v>
      </c>
      <c r="H169" s="23">
        <f>F169*AO169</f>
        <v>0</v>
      </c>
      <c r="I169" s="23">
        <f>F169*AP169</f>
        <v>0</v>
      </c>
      <c r="J169" s="23">
        <f>F169*G169</f>
        <v>0</v>
      </c>
      <c r="K169" s="23">
        <v>0</v>
      </c>
      <c r="L169" s="24">
        <v>0</v>
      </c>
      <c r="Z169" s="23">
        <f>IF(AQ169="5",BJ169,0)</f>
        <v>0</v>
      </c>
      <c r="AB169" s="23">
        <f>IF(AQ169="1",BH169,0)</f>
        <v>0</v>
      </c>
      <c r="AC169" s="23">
        <f>IF(AQ169="1",BI169,0)</f>
        <v>0</v>
      </c>
      <c r="AD169" s="23">
        <f>IF(AQ169="7",BH169,0)</f>
        <v>0</v>
      </c>
      <c r="AE169" s="23">
        <f>IF(AQ169="7",BI169,0)</f>
        <v>0</v>
      </c>
      <c r="AF169" s="23">
        <f>IF(AQ169="2",BH169,0)</f>
        <v>0</v>
      </c>
      <c r="AG169" s="23">
        <f>IF(AQ169="2",BI169,0)</f>
        <v>0</v>
      </c>
      <c r="AH169" s="23">
        <f>IF(AQ169="0",BJ169,0)</f>
        <v>0</v>
      </c>
      <c r="AI169" s="8" t="s">
        <v>53</v>
      </c>
      <c r="AJ169" s="23">
        <f>IF(AN169=0,J169,0)</f>
        <v>0</v>
      </c>
      <c r="AK169" s="23">
        <f>IF(AN169=12,J169,0)</f>
        <v>0</v>
      </c>
      <c r="AL169" s="23">
        <f>IF(AN169=21,J169,0)</f>
        <v>0</v>
      </c>
      <c r="AN169" s="23">
        <v>21</v>
      </c>
      <c r="AO169" s="23">
        <f>G169*0</f>
        <v>0</v>
      </c>
      <c r="AP169" s="23">
        <f>G169*(1-0)</f>
        <v>0</v>
      </c>
      <c r="AQ169" s="25" t="s">
        <v>94</v>
      </c>
      <c r="AV169" s="23">
        <f>AW169+AX169</f>
        <v>0</v>
      </c>
      <c r="AW169" s="23">
        <f>F169*AO169</f>
        <v>0</v>
      </c>
      <c r="AX169" s="23">
        <f>F169*AP169</f>
        <v>0</v>
      </c>
      <c r="AY169" s="25" t="s">
        <v>517</v>
      </c>
      <c r="AZ169" s="25" t="s">
        <v>285</v>
      </c>
      <c r="BA169" s="8" t="s">
        <v>62</v>
      </c>
      <c r="BC169" s="23">
        <f>AW169+AX169</f>
        <v>0</v>
      </c>
      <c r="BD169" s="23">
        <f>G169/(100-BE169)*100</f>
        <v>0</v>
      </c>
      <c r="BE169" s="23">
        <v>0</v>
      </c>
      <c r="BF169" s="23">
        <f>169</f>
        <v>169</v>
      </c>
      <c r="BH169" s="23">
        <f>F169*AO169</f>
        <v>0</v>
      </c>
      <c r="BI169" s="23">
        <f>F169*AP169</f>
        <v>0</v>
      </c>
      <c r="BJ169" s="23">
        <f>F169*G169</f>
        <v>0</v>
      </c>
      <c r="BK169" s="23"/>
      <c r="BL169" s="23">
        <v>735</v>
      </c>
      <c r="BW169" s="23">
        <v>21</v>
      </c>
    </row>
    <row r="170" spans="1:75" ht="27" customHeight="1" x14ac:dyDescent="0.25">
      <c r="A170" s="2" t="s">
        <v>518</v>
      </c>
      <c r="B170" s="3" t="s">
        <v>519</v>
      </c>
      <c r="C170" s="80" t="s">
        <v>520</v>
      </c>
      <c r="D170" s="75"/>
      <c r="E170" s="3" t="s">
        <v>88</v>
      </c>
      <c r="F170" s="23">
        <v>1200</v>
      </c>
      <c r="G170" s="23">
        <v>0</v>
      </c>
      <c r="H170" s="23">
        <f>F170*AO170</f>
        <v>0</v>
      </c>
      <c r="I170" s="23">
        <f>F170*AP170</f>
        <v>0</v>
      </c>
      <c r="J170" s="23">
        <f>F170*G170</f>
        <v>0</v>
      </c>
      <c r="K170" s="23">
        <v>0</v>
      </c>
      <c r="L170" s="24">
        <v>0</v>
      </c>
      <c r="Z170" s="23">
        <f>IF(AQ170="5",BJ170,0)</f>
        <v>0</v>
      </c>
      <c r="AB170" s="23">
        <f>IF(AQ170="1",BH170,0)</f>
        <v>0</v>
      </c>
      <c r="AC170" s="23">
        <f>IF(AQ170="1",BI170,0)</f>
        <v>0</v>
      </c>
      <c r="AD170" s="23">
        <f>IF(AQ170="7",BH170,0)</f>
        <v>0</v>
      </c>
      <c r="AE170" s="23">
        <f>IF(AQ170="7",BI170,0)</f>
        <v>0</v>
      </c>
      <c r="AF170" s="23">
        <f>IF(AQ170="2",BH170,0)</f>
        <v>0</v>
      </c>
      <c r="AG170" s="23">
        <f>IF(AQ170="2",BI170,0)</f>
        <v>0</v>
      </c>
      <c r="AH170" s="23">
        <f>IF(AQ170="0",BJ170,0)</f>
        <v>0</v>
      </c>
      <c r="AI170" s="8" t="s">
        <v>53</v>
      </c>
      <c r="AJ170" s="23">
        <f>IF(AN170=0,J170,0)</f>
        <v>0</v>
      </c>
      <c r="AK170" s="23">
        <f>IF(AN170=12,J170,0)</f>
        <v>0</v>
      </c>
      <c r="AL170" s="23">
        <f>IF(AN170=21,J170,0)</f>
        <v>0</v>
      </c>
      <c r="AN170" s="23">
        <v>21</v>
      </c>
      <c r="AO170" s="23">
        <f>G170*0.014245014</f>
        <v>0</v>
      </c>
      <c r="AP170" s="23">
        <f>G170*(1-0.014245014)</f>
        <v>0</v>
      </c>
      <c r="AQ170" s="25" t="s">
        <v>94</v>
      </c>
      <c r="AV170" s="23">
        <f>AW170+AX170</f>
        <v>0</v>
      </c>
      <c r="AW170" s="23">
        <f>F170*AO170</f>
        <v>0</v>
      </c>
      <c r="AX170" s="23">
        <f>F170*AP170</f>
        <v>0</v>
      </c>
      <c r="AY170" s="25" t="s">
        <v>517</v>
      </c>
      <c r="AZ170" s="25" t="s">
        <v>285</v>
      </c>
      <c r="BA170" s="8" t="s">
        <v>62</v>
      </c>
      <c r="BC170" s="23">
        <f>AW170+AX170</f>
        <v>0</v>
      </c>
      <c r="BD170" s="23">
        <f>G170/(100-BE170)*100</f>
        <v>0</v>
      </c>
      <c r="BE170" s="23">
        <v>0</v>
      </c>
      <c r="BF170" s="23">
        <f>170</f>
        <v>170</v>
      </c>
      <c r="BH170" s="23">
        <f>F170*AO170</f>
        <v>0</v>
      </c>
      <c r="BI170" s="23">
        <f>F170*AP170</f>
        <v>0</v>
      </c>
      <c r="BJ170" s="23">
        <f>F170*G170</f>
        <v>0</v>
      </c>
      <c r="BK170" s="23"/>
      <c r="BL170" s="23">
        <v>735</v>
      </c>
      <c r="BW170" s="23">
        <v>21</v>
      </c>
    </row>
    <row r="171" spans="1:75" x14ac:dyDescent="0.25">
      <c r="A171" s="30"/>
      <c r="C171" s="31" t="s">
        <v>521</v>
      </c>
      <c r="D171" s="31" t="s">
        <v>522</v>
      </c>
      <c r="F171" s="32">
        <v>1200</v>
      </c>
      <c r="L171" s="33"/>
    </row>
    <row r="172" spans="1:75" x14ac:dyDescent="0.25">
      <c r="A172" s="26" t="s">
        <v>53</v>
      </c>
      <c r="B172" s="27" t="s">
        <v>523</v>
      </c>
      <c r="C172" s="98" t="s">
        <v>524</v>
      </c>
      <c r="D172" s="99"/>
      <c r="E172" s="28" t="s">
        <v>10</v>
      </c>
      <c r="F172" s="28" t="s">
        <v>10</v>
      </c>
      <c r="G172" s="28" t="s">
        <v>10</v>
      </c>
      <c r="H172" s="1">
        <f>SUM(H173:H173)</f>
        <v>0</v>
      </c>
      <c r="I172" s="1">
        <f>SUM(I173:I173)</f>
        <v>0</v>
      </c>
      <c r="J172" s="1">
        <f>SUM(J173:J173)</f>
        <v>0</v>
      </c>
      <c r="K172" s="8" t="s">
        <v>53</v>
      </c>
      <c r="L172" s="29" t="s">
        <v>53</v>
      </c>
      <c r="AI172" s="8" t="s">
        <v>53</v>
      </c>
      <c r="AS172" s="1">
        <f>SUM(AJ173:AJ173)</f>
        <v>0</v>
      </c>
      <c r="AT172" s="1">
        <f>SUM(AK173:AK173)</f>
        <v>0</v>
      </c>
      <c r="AU172" s="1">
        <f>SUM(AL173:AL173)</f>
        <v>0</v>
      </c>
    </row>
    <row r="173" spans="1:75" ht="13.5" customHeight="1" x14ac:dyDescent="0.25">
      <c r="A173" s="2" t="s">
        <v>525</v>
      </c>
      <c r="B173" s="3" t="s">
        <v>526</v>
      </c>
      <c r="C173" s="80" t="s">
        <v>527</v>
      </c>
      <c r="D173" s="75"/>
      <c r="E173" s="3" t="s">
        <v>528</v>
      </c>
      <c r="F173" s="23">
        <v>8</v>
      </c>
      <c r="G173" s="23">
        <v>0</v>
      </c>
      <c r="H173" s="23">
        <f>F173*AO173</f>
        <v>0</v>
      </c>
      <c r="I173" s="23">
        <f>F173*AP173</f>
        <v>0</v>
      </c>
      <c r="J173" s="23">
        <f>F173*G173</f>
        <v>0</v>
      </c>
      <c r="K173" s="23">
        <v>6.0000000000000002E-5</v>
      </c>
      <c r="L173" s="24">
        <v>6.0000000000000002E-5</v>
      </c>
      <c r="Z173" s="23">
        <f>IF(AQ173="5",BJ173,0)</f>
        <v>0</v>
      </c>
      <c r="AB173" s="23">
        <f>IF(AQ173="1",BH173,0)</f>
        <v>0</v>
      </c>
      <c r="AC173" s="23">
        <f>IF(AQ173="1",BI173,0)</f>
        <v>0</v>
      </c>
      <c r="AD173" s="23">
        <f>IF(AQ173="7",BH173,0)</f>
        <v>0</v>
      </c>
      <c r="AE173" s="23">
        <f>IF(AQ173="7",BI173,0)</f>
        <v>0</v>
      </c>
      <c r="AF173" s="23">
        <f>IF(AQ173="2",BH173,0)</f>
        <v>0</v>
      </c>
      <c r="AG173" s="23">
        <f>IF(AQ173="2",BI173,0)</f>
        <v>0</v>
      </c>
      <c r="AH173" s="23">
        <f>IF(AQ173="0",BJ173,0)</f>
        <v>0</v>
      </c>
      <c r="AI173" s="8" t="s">
        <v>53</v>
      </c>
      <c r="AJ173" s="23">
        <f>IF(AN173=0,J173,0)</f>
        <v>0</v>
      </c>
      <c r="AK173" s="23">
        <f>IF(AN173=12,J173,0)</f>
        <v>0</v>
      </c>
      <c r="AL173" s="23">
        <f>IF(AN173=21,J173,0)</f>
        <v>0</v>
      </c>
      <c r="AN173" s="23">
        <v>21</v>
      </c>
      <c r="AO173" s="23">
        <f>G173*0.091253482</f>
        <v>0</v>
      </c>
      <c r="AP173" s="23">
        <f>G173*(1-0.091253482)</f>
        <v>0</v>
      </c>
      <c r="AQ173" s="25" t="s">
        <v>94</v>
      </c>
      <c r="AV173" s="23">
        <f>AW173+AX173</f>
        <v>0</v>
      </c>
      <c r="AW173" s="23">
        <f>F173*AO173</f>
        <v>0</v>
      </c>
      <c r="AX173" s="23">
        <f>F173*AP173</f>
        <v>0</v>
      </c>
      <c r="AY173" s="25" t="s">
        <v>529</v>
      </c>
      <c r="AZ173" s="25" t="s">
        <v>530</v>
      </c>
      <c r="BA173" s="8" t="s">
        <v>62</v>
      </c>
      <c r="BC173" s="23">
        <f>AW173+AX173</f>
        <v>0</v>
      </c>
      <c r="BD173" s="23">
        <f>G173/(100-BE173)*100</f>
        <v>0</v>
      </c>
      <c r="BE173" s="23">
        <v>0</v>
      </c>
      <c r="BF173" s="23">
        <f>173</f>
        <v>173</v>
      </c>
      <c r="BH173" s="23">
        <f>F173*AO173</f>
        <v>0</v>
      </c>
      <c r="BI173" s="23">
        <f>F173*AP173</f>
        <v>0</v>
      </c>
      <c r="BJ173" s="23">
        <f>F173*G173</f>
        <v>0</v>
      </c>
      <c r="BK173" s="23"/>
      <c r="BL173" s="23">
        <v>767</v>
      </c>
      <c r="BW173" s="23">
        <v>21</v>
      </c>
    </row>
    <row r="174" spans="1:75" x14ac:dyDescent="0.25">
      <c r="A174" s="30"/>
      <c r="C174" s="31" t="s">
        <v>99</v>
      </c>
      <c r="D174" s="31" t="s">
        <v>531</v>
      </c>
      <c r="F174" s="32">
        <v>8</v>
      </c>
      <c r="L174" s="33"/>
    </row>
    <row r="175" spans="1:75" x14ac:dyDescent="0.25">
      <c r="A175" s="26" t="s">
        <v>53</v>
      </c>
      <c r="B175" s="27" t="s">
        <v>532</v>
      </c>
      <c r="C175" s="98" t="s">
        <v>533</v>
      </c>
      <c r="D175" s="99"/>
      <c r="E175" s="28" t="s">
        <v>10</v>
      </c>
      <c r="F175" s="28" t="s">
        <v>10</v>
      </c>
      <c r="G175" s="28" t="s">
        <v>10</v>
      </c>
      <c r="H175" s="1">
        <f>SUM(H176:H180)</f>
        <v>0</v>
      </c>
      <c r="I175" s="1">
        <f>SUM(I176:I180)</f>
        <v>0</v>
      </c>
      <c r="J175" s="1">
        <f>SUM(J176:J180)</f>
        <v>0</v>
      </c>
      <c r="K175" s="8" t="s">
        <v>53</v>
      </c>
      <c r="L175" s="29" t="s">
        <v>53</v>
      </c>
      <c r="AI175" s="8" t="s">
        <v>53</v>
      </c>
      <c r="AS175" s="1">
        <f>SUM(AJ176:AJ180)</f>
        <v>0</v>
      </c>
      <c r="AT175" s="1">
        <f>SUM(AK176:AK180)</f>
        <v>0</v>
      </c>
      <c r="AU175" s="1">
        <f>SUM(AL176:AL180)</f>
        <v>0</v>
      </c>
    </row>
    <row r="176" spans="1:75" ht="13.5" customHeight="1" x14ac:dyDescent="0.25">
      <c r="A176" s="2" t="s">
        <v>534</v>
      </c>
      <c r="B176" s="3" t="s">
        <v>535</v>
      </c>
      <c r="C176" s="80" t="s">
        <v>536</v>
      </c>
      <c r="D176" s="75"/>
      <c r="E176" s="3" t="s">
        <v>68</v>
      </c>
      <c r="F176" s="23">
        <v>16</v>
      </c>
      <c r="G176" s="23">
        <v>0</v>
      </c>
      <c r="H176" s="23">
        <f>F176*AO176</f>
        <v>0</v>
      </c>
      <c r="I176" s="23">
        <f>F176*AP176</f>
        <v>0</v>
      </c>
      <c r="J176" s="23">
        <f>F176*G176</f>
        <v>0</v>
      </c>
      <c r="K176" s="23">
        <v>2.9999999999999997E-4</v>
      </c>
      <c r="L176" s="24">
        <v>2.9999999999999997E-4</v>
      </c>
      <c r="Z176" s="23">
        <f>IF(AQ176="5",BJ176,0)</f>
        <v>0</v>
      </c>
      <c r="AB176" s="23">
        <f>IF(AQ176="1",BH176,0)</f>
        <v>0</v>
      </c>
      <c r="AC176" s="23">
        <f>IF(AQ176="1",BI176,0)</f>
        <v>0</v>
      </c>
      <c r="AD176" s="23">
        <f>IF(AQ176="7",BH176,0)</f>
        <v>0</v>
      </c>
      <c r="AE176" s="23">
        <f>IF(AQ176="7",BI176,0)</f>
        <v>0</v>
      </c>
      <c r="AF176" s="23">
        <f>IF(AQ176="2",BH176,0)</f>
        <v>0</v>
      </c>
      <c r="AG176" s="23">
        <f>IF(AQ176="2",BI176,0)</f>
        <v>0</v>
      </c>
      <c r="AH176" s="23">
        <f>IF(AQ176="0",BJ176,0)</f>
        <v>0</v>
      </c>
      <c r="AI176" s="8" t="s">
        <v>53</v>
      </c>
      <c r="AJ176" s="23">
        <f>IF(AN176=0,J176,0)</f>
        <v>0</v>
      </c>
      <c r="AK176" s="23">
        <f>IF(AN176=12,J176,0)</f>
        <v>0</v>
      </c>
      <c r="AL176" s="23">
        <f>IF(AN176=21,J176,0)</f>
        <v>0</v>
      </c>
      <c r="AN176" s="23">
        <v>21</v>
      </c>
      <c r="AO176" s="23">
        <f>G176*0.428652118</f>
        <v>0</v>
      </c>
      <c r="AP176" s="23">
        <f>G176*(1-0.428652118)</f>
        <v>0</v>
      </c>
      <c r="AQ176" s="25" t="s">
        <v>94</v>
      </c>
      <c r="AV176" s="23">
        <f>AW176+AX176</f>
        <v>0</v>
      </c>
      <c r="AW176" s="23">
        <f>F176*AO176</f>
        <v>0</v>
      </c>
      <c r="AX176" s="23">
        <f>F176*AP176</f>
        <v>0</v>
      </c>
      <c r="AY176" s="25" t="s">
        <v>537</v>
      </c>
      <c r="AZ176" s="25" t="s">
        <v>538</v>
      </c>
      <c r="BA176" s="8" t="s">
        <v>62</v>
      </c>
      <c r="BC176" s="23">
        <f>AW176+AX176</f>
        <v>0</v>
      </c>
      <c r="BD176" s="23">
        <f>G176/(100-BE176)*100</f>
        <v>0</v>
      </c>
      <c r="BE176" s="23">
        <v>0</v>
      </c>
      <c r="BF176" s="23">
        <f>176</f>
        <v>176</v>
      </c>
      <c r="BH176" s="23">
        <f>F176*AO176</f>
        <v>0</v>
      </c>
      <c r="BI176" s="23">
        <f>F176*AP176</f>
        <v>0</v>
      </c>
      <c r="BJ176" s="23">
        <f>F176*G176</f>
        <v>0</v>
      </c>
      <c r="BK176" s="23"/>
      <c r="BL176" s="23">
        <v>783</v>
      </c>
      <c r="BW176" s="23">
        <v>21</v>
      </c>
    </row>
    <row r="177" spans="1:75" ht="13.5" customHeight="1" x14ac:dyDescent="0.25">
      <c r="A177" s="2" t="s">
        <v>539</v>
      </c>
      <c r="B177" s="3" t="s">
        <v>540</v>
      </c>
      <c r="C177" s="80" t="s">
        <v>541</v>
      </c>
      <c r="D177" s="75"/>
      <c r="E177" s="3" t="s">
        <v>102</v>
      </c>
      <c r="F177" s="23">
        <v>21</v>
      </c>
      <c r="G177" s="23">
        <v>0</v>
      </c>
      <c r="H177" s="23">
        <f>F177*AO177</f>
        <v>0</v>
      </c>
      <c r="I177" s="23">
        <f>F177*AP177</f>
        <v>0</v>
      </c>
      <c r="J177" s="23">
        <f>F177*G177</f>
        <v>0</v>
      </c>
      <c r="K177" s="23">
        <v>6.9999999999999994E-5</v>
      </c>
      <c r="L177" s="24">
        <v>6.9999999999999994E-5</v>
      </c>
      <c r="Z177" s="23">
        <f>IF(AQ177="5",BJ177,0)</f>
        <v>0</v>
      </c>
      <c r="AB177" s="23">
        <f>IF(AQ177="1",BH177,0)</f>
        <v>0</v>
      </c>
      <c r="AC177" s="23">
        <f>IF(AQ177="1",BI177,0)</f>
        <v>0</v>
      </c>
      <c r="AD177" s="23">
        <f>IF(AQ177="7",BH177,0)</f>
        <v>0</v>
      </c>
      <c r="AE177" s="23">
        <f>IF(AQ177="7",BI177,0)</f>
        <v>0</v>
      </c>
      <c r="AF177" s="23">
        <f>IF(AQ177="2",BH177,0)</f>
        <v>0</v>
      </c>
      <c r="AG177" s="23">
        <f>IF(AQ177="2",BI177,0)</f>
        <v>0</v>
      </c>
      <c r="AH177" s="23">
        <f>IF(AQ177="0",BJ177,0)</f>
        <v>0</v>
      </c>
      <c r="AI177" s="8" t="s">
        <v>53</v>
      </c>
      <c r="AJ177" s="23">
        <f>IF(AN177=0,J177,0)</f>
        <v>0</v>
      </c>
      <c r="AK177" s="23">
        <f>IF(AN177=12,J177,0)</f>
        <v>0</v>
      </c>
      <c r="AL177" s="23">
        <f>IF(AN177=21,J177,0)</f>
        <v>0</v>
      </c>
      <c r="AN177" s="23">
        <v>21</v>
      </c>
      <c r="AO177" s="23">
        <f>G177*0.191029065</f>
        <v>0</v>
      </c>
      <c r="AP177" s="23">
        <f>G177*(1-0.191029065)</f>
        <v>0</v>
      </c>
      <c r="AQ177" s="25" t="s">
        <v>94</v>
      </c>
      <c r="AV177" s="23">
        <f>AW177+AX177</f>
        <v>0</v>
      </c>
      <c r="AW177" s="23">
        <f>F177*AO177</f>
        <v>0</v>
      </c>
      <c r="AX177" s="23">
        <f>F177*AP177</f>
        <v>0</v>
      </c>
      <c r="AY177" s="25" t="s">
        <v>537</v>
      </c>
      <c r="AZ177" s="25" t="s">
        <v>538</v>
      </c>
      <c r="BA177" s="8" t="s">
        <v>62</v>
      </c>
      <c r="BC177" s="23">
        <f>AW177+AX177</f>
        <v>0</v>
      </c>
      <c r="BD177" s="23">
        <f>G177/(100-BE177)*100</f>
        <v>0</v>
      </c>
      <c r="BE177" s="23">
        <v>0</v>
      </c>
      <c r="BF177" s="23">
        <f>177</f>
        <v>177</v>
      </c>
      <c r="BH177" s="23">
        <f>F177*AO177</f>
        <v>0</v>
      </c>
      <c r="BI177" s="23">
        <f>F177*AP177</f>
        <v>0</v>
      </c>
      <c r="BJ177" s="23">
        <f>F177*G177</f>
        <v>0</v>
      </c>
      <c r="BK177" s="23"/>
      <c r="BL177" s="23">
        <v>783</v>
      </c>
      <c r="BW177" s="23">
        <v>21</v>
      </c>
    </row>
    <row r="178" spans="1:75" ht="13.5" customHeight="1" x14ac:dyDescent="0.25">
      <c r="A178" s="2" t="s">
        <v>542</v>
      </c>
      <c r="B178" s="3" t="s">
        <v>543</v>
      </c>
      <c r="C178" s="80" t="s">
        <v>544</v>
      </c>
      <c r="D178" s="75"/>
      <c r="E178" s="3" t="s">
        <v>102</v>
      </c>
      <c r="F178" s="23">
        <v>26</v>
      </c>
      <c r="G178" s="23">
        <v>0</v>
      </c>
      <c r="H178" s="23">
        <f>F178*AO178</f>
        <v>0</v>
      </c>
      <c r="I178" s="23">
        <f>F178*AP178</f>
        <v>0</v>
      </c>
      <c r="J178" s="23">
        <f>F178*G178</f>
        <v>0</v>
      </c>
      <c r="K178" s="23">
        <v>9.0000000000000006E-5</v>
      </c>
      <c r="L178" s="24">
        <v>9.0000000000000006E-5</v>
      </c>
      <c r="Z178" s="23">
        <f>IF(AQ178="5",BJ178,0)</f>
        <v>0</v>
      </c>
      <c r="AB178" s="23">
        <f>IF(AQ178="1",BH178,0)</f>
        <v>0</v>
      </c>
      <c r="AC178" s="23">
        <f>IF(AQ178="1",BI178,0)</f>
        <v>0</v>
      </c>
      <c r="AD178" s="23">
        <f>IF(AQ178="7",BH178,0)</f>
        <v>0</v>
      </c>
      <c r="AE178" s="23">
        <f>IF(AQ178="7",BI178,0)</f>
        <v>0</v>
      </c>
      <c r="AF178" s="23">
        <f>IF(AQ178="2",BH178,0)</f>
        <v>0</v>
      </c>
      <c r="AG178" s="23">
        <f>IF(AQ178="2",BI178,0)</f>
        <v>0</v>
      </c>
      <c r="AH178" s="23">
        <f>IF(AQ178="0",BJ178,0)</f>
        <v>0</v>
      </c>
      <c r="AI178" s="8" t="s">
        <v>53</v>
      </c>
      <c r="AJ178" s="23">
        <f>IF(AN178=0,J178,0)</f>
        <v>0</v>
      </c>
      <c r="AK178" s="23">
        <f>IF(AN178=12,J178,0)</f>
        <v>0</v>
      </c>
      <c r="AL178" s="23">
        <f>IF(AN178=21,J178,0)</f>
        <v>0</v>
      </c>
      <c r="AN178" s="23">
        <v>21</v>
      </c>
      <c r="AO178" s="23">
        <f>G178*0.212098121</f>
        <v>0</v>
      </c>
      <c r="AP178" s="23">
        <f>G178*(1-0.212098121)</f>
        <v>0</v>
      </c>
      <c r="AQ178" s="25" t="s">
        <v>94</v>
      </c>
      <c r="AV178" s="23">
        <f>AW178+AX178</f>
        <v>0</v>
      </c>
      <c r="AW178" s="23">
        <f>F178*AO178</f>
        <v>0</v>
      </c>
      <c r="AX178" s="23">
        <f>F178*AP178</f>
        <v>0</v>
      </c>
      <c r="AY178" s="25" t="s">
        <v>537</v>
      </c>
      <c r="AZ178" s="25" t="s">
        <v>538</v>
      </c>
      <c r="BA178" s="8" t="s">
        <v>62</v>
      </c>
      <c r="BC178" s="23">
        <f>AW178+AX178</f>
        <v>0</v>
      </c>
      <c r="BD178" s="23">
        <f>G178/(100-BE178)*100</f>
        <v>0</v>
      </c>
      <c r="BE178" s="23">
        <v>0</v>
      </c>
      <c r="BF178" s="23">
        <f>178</f>
        <v>178</v>
      </c>
      <c r="BH178" s="23">
        <f>F178*AO178</f>
        <v>0</v>
      </c>
      <c r="BI178" s="23">
        <f>F178*AP178</f>
        <v>0</v>
      </c>
      <c r="BJ178" s="23">
        <f>F178*G178</f>
        <v>0</v>
      </c>
      <c r="BK178" s="23"/>
      <c r="BL178" s="23">
        <v>783</v>
      </c>
      <c r="BW178" s="23">
        <v>21</v>
      </c>
    </row>
    <row r="179" spans="1:75" ht="13.5" customHeight="1" x14ac:dyDescent="0.25">
      <c r="A179" s="2" t="s">
        <v>545</v>
      </c>
      <c r="B179" s="3" t="s">
        <v>546</v>
      </c>
      <c r="C179" s="80" t="s">
        <v>547</v>
      </c>
      <c r="D179" s="75"/>
      <c r="E179" s="3" t="s">
        <v>102</v>
      </c>
      <c r="F179" s="23">
        <v>40</v>
      </c>
      <c r="G179" s="23">
        <v>0</v>
      </c>
      <c r="H179" s="23">
        <f>F179*AO179</f>
        <v>0</v>
      </c>
      <c r="I179" s="23">
        <f>F179*AP179</f>
        <v>0</v>
      </c>
      <c r="J179" s="23">
        <f>F179*G179</f>
        <v>0</v>
      </c>
      <c r="K179" s="23">
        <v>9.0000000000000006E-5</v>
      </c>
      <c r="L179" s="24">
        <v>9.0000000000000006E-5</v>
      </c>
      <c r="Z179" s="23">
        <f>IF(AQ179="5",BJ179,0)</f>
        <v>0</v>
      </c>
      <c r="AB179" s="23">
        <f>IF(AQ179="1",BH179,0)</f>
        <v>0</v>
      </c>
      <c r="AC179" s="23">
        <f>IF(AQ179="1",BI179,0)</f>
        <v>0</v>
      </c>
      <c r="AD179" s="23">
        <f>IF(AQ179="7",BH179,0)</f>
        <v>0</v>
      </c>
      <c r="AE179" s="23">
        <f>IF(AQ179="7",BI179,0)</f>
        <v>0</v>
      </c>
      <c r="AF179" s="23">
        <f>IF(AQ179="2",BH179,0)</f>
        <v>0</v>
      </c>
      <c r="AG179" s="23">
        <f>IF(AQ179="2",BI179,0)</f>
        <v>0</v>
      </c>
      <c r="AH179" s="23">
        <f>IF(AQ179="0",BJ179,0)</f>
        <v>0</v>
      </c>
      <c r="AI179" s="8" t="s">
        <v>53</v>
      </c>
      <c r="AJ179" s="23">
        <f>IF(AN179=0,J179,0)</f>
        <v>0</v>
      </c>
      <c r="AK179" s="23">
        <f>IF(AN179=12,J179,0)</f>
        <v>0</v>
      </c>
      <c r="AL179" s="23">
        <f>IF(AN179=21,J179,0)</f>
        <v>0</v>
      </c>
      <c r="AN179" s="23">
        <v>21</v>
      </c>
      <c r="AO179" s="23">
        <f>G179*0.214405762</f>
        <v>0</v>
      </c>
      <c r="AP179" s="23">
        <f>G179*(1-0.214405762)</f>
        <v>0</v>
      </c>
      <c r="AQ179" s="25" t="s">
        <v>94</v>
      </c>
      <c r="AV179" s="23">
        <f>AW179+AX179</f>
        <v>0</v>
      </c>
      <c r="AW179" s="23">
        <f>F179*AO179</f>
        <v>0</v>
      </c>
      <c r="AX179" s="23">
        <f>F179*AP179</f>
        <v>0</v>
      </c>
      <c r="AY179" s="25" t="s">
        <v>537</v>
      </c>
      <c r="AZ179" s="25" t="s">
        <v>538</v>
      </c>
      <c r="BA179" s="8" t="s">
        <v>62</v>
      </c>
      <c r="BC179" s="23">
        <f>AW179+AX179</f>
        <v>0</v>
      </c>
      <c r="BD179" s="23">
        <f>G179/(100-BE179)*100</f>
        <v>0</v>
      </c>
      <c r="BE179" s="23">
        <v>0</v>
      </c>
      <c r="BF179" s="23">
        <f>179</f>
        <v>179</v>
      </c>
      <c r="BH179" s="23">
        <f>F179*AO179</f>
        <v>0</v>
      </c>
      <c r="BI179" s="23">
        <f>F179*AP179</f>
        <v>0</v>
      </c>
      <c r="BJ179" s="23">
        <f>F179*G179</f>
        <v>0</v>
      </c>
      <c r="BK179" s="23"/>
      <c r="BL179" s="23">
        <v>783</v>
      </c>
      <c r="BW179" s="23">
        <v>21</v>
      </c>
    </row>
    <row r="180" spans="1:75" ht="13.5" customHeight="1" x14ac:dyDescent="0.25">
      <c r="A180" s="2" t="s">
        <v>548</v>
      </c>
      <c r="B180" s="3" t="s">
        <v>549</v>
      </c>
      <c r="C180" s="80" t="s">
        <v>550</v>
      </c>
      <c r="D180" s="75"/>
      <c r="E180" s="3" t="s">
        <v>88</v>
      </c>
      <c r="F180" s="23">
        <v>1</v>
      </c>
      <c r="G180" s="23">
        <v>0</v>
      </c>
      <c r="H180" s="23">
        <f>F180*AO180</f>
        <v>0</v>
      </c>
      <c r="I180" s="23">
        <f>F180*AP180</f>
        <v>0</v>
      </c>
      <c r="J180" s="23">
        <f>F180*G180</f>
        <v>0</v>
      </c>
      <c r="K180" s="23">
        <v>3.2000000000000003E-4</v>
      </c>
      <c r="L180" s="24">
        <v>3.2000000000000003E-4</v>
      </c>
      <c r="Z180" s="23">
        <f>IF(AQ180="5",BJ180,0)</f>
        <v>0</v>
      </c>
      <c r="AB180" s="23">
        <f>IF(AQ180="1",BH180,0)</f>
        <v>0</v>
      </c>
      <c r="AC180" s="23">
        <f>IF(AQ180="1",BI180,0)</f>
        <v>0</v>
      </c>
      <c r="AD180" s="23">
        <f>IF(AQ180="7",BH180,0)</f>
        <v>0</v>
      </c>
      <c r="AE180" s="23">
        <f>IF(AQ180="7",BI180,0)</f>
        <v>0</v>
      </c>
      <c r="AF180" s="23">
        <f>IF(AQ180="2",BH180,0)</f>
        <v>0</v>
      </c>
      <c r="AG180" s="23">
        <f>IF(AQ180="2",BI180,0)</f>
        <v>0</v>
      </c>
      <c r="AH180" s="23">
        <f>IF(AQ180="0",BJ180,0)</f>
        <v>0</v>
      </c>
      <c r="AI180" s="8" t="s">
        <v>53</v>
      </c>
      <c r="AJ180" s="23">
        <f>IF(AN180=0,J180,0)</f>
        <v>0</v>
      </c>
      <c r="AK180" s="23">
        <f>IF(AN180=12,J180,0)</f>
        <v>0</v>
      </c>
      <c r="AL180" s="23">
        <f>IF(AN180=21,J180,0)</f>
        <v>0</v>
      </c>
      <c r="AN180" s="23">
        <v>21</v>
      </c>
      <c r="AO180" s="23">
        <f>G180*0.708888889</f>
        <v>0</v>
      </c>
      <c r="AP180" s="23">
        <f>G180*(1-0.708888889)</f>
        <v>0</v>
      </c>
      <c r="AQ180" s="25" t="s">
        <v>94</v>
      </c>
      <c r="AV180" s="23">
        <f>AW180+AX180</f>
        <v>0</v>
      </c>
      <c r="AW180" s="23">
        <f>F180*AO180</f>
        <v>0</v>
      </c>
      <c r="AX180" s="23">
        <f>F180*AP180</f>
        <v>0</v>
      </c>
      <c r="AY180" s="25" t="s">
        <v>537</v>
      </c>
      <c r="AZ180" s="25" t="s">
        <v>538</v>
      </c>
      <c r="BA180" s="8" t="s">
        <v>62</v>
      </c>
      <c r="BC180" s="23">
        <f>AW180+AX180</f>
        <v>0</v>
      </c>
      <c r="BD180" s="23">
        <f>G180/(100-BE180)*100</f>
        <v>0</v>
      </c>
      <c r="BE180" s="23">
        <v>0</v>
      </c>
      <c r="BF180" s="23">
        <f>180</f>
        <v>180</v>
      </c>
      <c r="BH180" s="23">
        <f>F180*AO180</f>
        <v>0</v>
      </c>
      <c r="BI180" s="23">
        <f>F180*AP180</f>
        <v>0</v>
      </c>
      <c r="BJ180" s="23">
        <f>F180*G180</f>
        <v>0</v>
      </c>
      <c r="BK180" s="23"/>
      <c r="BL180" s="23">
        <v>783</v>
      </c>
      <c r="BW180" s="23">
        <v>21</v>
      </c>
    </row>
    <row r="181" spans="1:75" x14ac:dyDescent="0.25">
      <c r="A181" s="26" t="s">
        <v>53</v>
      </c>
      <c r="B181" s="27" t="s">
        <v>551</v>
      </c>
      <c r="C181" s="98" t="s">
        <v>552</v>
      </c>
      <c r="D181" s="99"/>
      <c r="E181" s="28" t="s">
        <v>10</v>
      </c>
      <c r="F181" s="28" t="s">
        <v>10</v>
      </c>
      <c r="G181" s="28" t="s">
        <v>10</v>
      </c>
      <c r="H181" s="1">
        <f>SUM(H182:H183)</f>
        <v>0</v>
      </c>
      <c r="I181" s="1">
        <f>SUM(I182:I183)</f>
        <v>0</v>
      </c>
      <c r="J181" s="1">
        <f>SUM(J182:J183)</f>
        <v>0</v>
      </c>
      <c r="K181" s="8" t="s">
        <v>53</v>
      </c>
      <c r="L181" s="29" t="s">
        <v>53</v>
      </c>
      <c r="AI181" s="8" t="s">
        <v>53</v>
      </c>
      <c r="AS181" s="1">
        <f>SUM(AJ182:AJ183)</f>
        <v>0</v>
      </c>
      <c r="AT181" s="1">
        <f>SUM(AK182:AK183)</f>
        <v>0</v>
      </c>
      <c r="AU181" s="1">
        <f>SUM(AL182:AL183)</f>
        <v>0</v>
      </c>
    </row>
    <row r="182" spans="1:75" ht="13.5" customHeight="1" x14ac:dyDescent="0.25">
      <c r="A182" s="2" t="s">
        <v>553</v>
      </c>
      <c r="B182" s="3" t="s">
        <v>554</v>
      </c>
      <c r="C182" s="80" t="s">
        <v>555</v>
      </c>
      <c r="D182" s="75"/>
      <c r="E182" s="3" t="s">
        <v>88</v>
      </c>
      <c r="F182" s="23">
        <v>41</v>
      </c>
      <c r="G182" s="23">
        <v>0</v>
      </c>
      <c r="H182" s="23">
        <f>F182*AO182</f>
        <v>0</v>
      </c>
      <c r="I182" s="23">
        <f>F182*AP182</f>
        <v>0</v>
      </c>
      <c r="J182" s="23">
        <f>F182*G182</f>
        <v>0</v>
      </c>
      <c r="K182" s="23">
        <v>3.5E-4</v>
      </c>
      <c r="L182" s="24">
        <v>3.5E-4</v>
      </c>
      <c r="Z182" s="23">
        <f>IF(AQ182="5",BJ182,0)</f>
        <v>0</v>
      </c>
      <c r="AB182" s="23">
        <f>IF(AQ182="1",BH182,0)</f>
        <v>0</v>
      </c>
      <c r="AC182" s="23">
        <f>IF(AQ182="1",BI182,0)</f>
        <v>0</v>
      </c>
      <c r="AD182" s="23">
        <f>IF(AQ182="7",BH182,0)</f>
        <v>0</v>
      </c>
      <c r="AE182" s="23">
        <f>IF(AQ182="7",BI182,0)</f>
        <v>0</v>
      </c>
      <c r="AF182" s="23">
        <f>IF(AQ182="2",BH182,0)</f>
        <v>0</v>
      </c>
      <c r="AG182" s="23">
        <f>IF(AQ182="2",BI182,0)</f>
        <v>0</v>
      </c>
      <c r="AH182" s="23">
        <f>IF(AQ182="0",BJ182,0)</f>
        <v>0</v>
      </c>
      <c r="AI182" s="8" t="s">
        <v>53</v>
      </c>
      <c r="AJ182" s="23">
        <f>IF(AN182=0,J182,0)</f>
        <v>0</v>
      </c>
      <c r="AK182" s="23">
        <f>IF(AN182=12,J182,0)</f>
        <v>0</v>
      </c>
      <c r="AL182" s="23">
        <f>IF(AN182=21,J182,0)</f>
        <v>0</v>
      </c>
      <c r="AN182" s="23">
        <v>21</v>
      </c>
      <c r="AO182" s="23">
        <f>G182*0.641928994</f>
        <v>0</v>
      </c>
      <c r="AP182" s="23">
        <f>G182*(1-0.641928994)</f>
        <v>0</v>
      </c>
      <c r="AQ182" s="25" t="s">
        <v>94</v>
      </c>
      <c r="AV182" s="23">
        <f>AW182+AX182</f>
        <v>0</v>
      </c>
      <c r="AW182" s="23">
        <f>F182*AO182</f>
        <v>0</v>
      </c>
      <c r="AX182" s="23">
        <f>F182*AP182</f>
        <v>0</v>
      </c>
      <c r="AY182" s="25" t="s">
        <v>556</v>
      </c>
      <c r="AZ182" s="25" t="s">
        <v>538</v>
      </c>
      <c r="BA182" s="8" t="s">
        <v>62</v>
      </c>
      <c r="BC182" s="23">
        <f>AW182+AX182</f>
        <v>0</v>
      </c>
      <c r="BD182" s="23">
        <f>G182/(100-BE182)*100</f>
        <v>0</v>
      </c>
      <c r="BE182" s="23">
        <v>0</v>
      </c>
      <c r="BF182" s="23">
        <f>182</f>
        <v>182</v>
      </c>
      <c r="BH182" s="23">
        <f>F182*AO182</f>
        <v>0</v>
      </c>
      <c r="BI182" s="23">
        <f>F182*AP182</f>
        <v>0</v>
      </c>
      <c r="BJ182" s="23">
        <f>F182*G182</f>
        <v>0</v>
      </c>
      <c r="BK182" s="23"/>
      <c r="BL182" s="23">
        <v>784</v>
      </c>
      <c r="BW182" s="23">
        <v>21</v>
      </c>
    </row>
    <row r="183" spans="1:75" ht="13.5" customHeight="1" x14ac:dyDescent="0.25">
      <c r="A183" s="2" t="s">
        <v>557</v>
      </c>
      <c r="B183" s="3" t="s">
        <v>558</v>
      </c>
      <c r="C183" s="80" t="s">
        <v>559</v>
      </c>
      <c r="D183" s="75"/>
      <c r="E183" s="3" t="s">
        <v>88</v>
      </c>
      <c r="F183" s="23">
        <v>125.45</v>
      </c>
      <c r="G183" s="23">
        <v>0</v>
      </c>
      <c r="H183" s="23">
        <f>F183*AO183</f>
        <v>0</v>
      </c>
      <c r="I183" s="23">
        <f>F183*AP183</f>
        <v>0</v>
      </c>
      <c r="J183" s="23">
        <f>F183*G183</f>
        <v>0</v>
      </c>
      <c r="K183" s="23">
        <v>2.2000000000000001E-4</v>
      </c>
      <c r="L183" s="24">
        <v>2.2000000000000001E-4</v>
      </c>
      <c r="Z183" s="23">
        <f>IF(AQ183="5",BJ183,0)</f>
        <v>0</v>
      </c>
      <c r="AB183" s="23">
        <f>IF(AQ183="1",BH183,0)</f>
        <v>0</v>
      </c>
      <c r="AC183" s="23">
        <f>IF(AQ183="1",BI183,0)</f>
        <v>0</v>
      </c>
      <c r="AD183" s="23">
        <f>IF(AQ183="7",BH183,0)</f>
        <v>0</v>
      </c>
      <c r="AE183" s="23">
        <f>IF(AQ183="7",BI183,0)</f>
        <v>0</v>
      </c>
      <c r="AF183" s="23">
        <f>IF(AQ183="2",BH183,0)</f>
        <v>0</v>
      </c>
      <c r="AG183" s="23">
        <f>IF(AQ183="2",BI183,0)</f>
        <v>0</v>
      </c>
      <c r="AH183" s="23">
        <f>IF(AQ183="0",BJ183,0)</f>
        <v>0</v>
      </c>
      <c r="AI183" s="8" t="s">
        <v>53</v>
      </c>
      <c r="AJ183" s="23">
        <f>IF(AN183=0,J183,0)</f>
        <v>0</v>
      </c>
      <c r="AK183" s="23">
        <f>IF(AN183=12,J183,0)</f>
        <v>0</v>
      </c>
      <c r="AL183" s="23">
        <f>IF(AN183=21,J183,0)</f>
        <v>0</v>
      </c>
      <c r="AN183" s="23">
        <v>21</v>
      </c>
      <c r="AO183" s="23">
        <f>G183*0.099145625</f>
        <v>0</v>
      </c>
      <c r="AP183" s="23">
        <f>G183*(1-0.099145625)</f>
        <v>0</v>
      </c>
      <c r="AQ183" s="25" t="s">
        <v>94</v>
      </c>
      <c r="AV183" s="23">
        <f>AW183+AX183</f>
        <v>0</v>
      </c>
      <c r="AW183" s="23">
        <f>F183*AO183</f>
        <v>0</v>
      </c>
      <c r="AX183" s="23">
        <f>F183*AP183</f>
        <v>0</v>
      </c>
      <c r="AY183" s="25" t="s">
        <v>556</v>
      </c>
      <c r="AZ183" s="25" t="s">
        <v>538</v>
      </c>
      <c r="BA183" s="8" t="s">
        <v>62</v>
      </c>
      <c r="BC183" s="23">
        <f>AW183+AX183</f>
        <v>0</v>
      </c>
      <c r="BD183" s="23">
        <f>G183/(100-BE183)*100</f>
        <v>0</v>
      </c>
      <c r="BE183" s="23">
        <v>0</v>
      </c>
      <c r="BF183" s="23">
        <f>183</f>
        <v>183</v>
      </c>
      <c r="BH183" s="23">
        <f>F183*AO183</f>
        <v>0</v>
      </c>
      <c r="BI183" s="23">
        <f>F183*AP183</f>
        <v>0</v>
      </c>
      <c r="BJ183" s="23">
        <f>F183*G183</f>
        <v>0</v>
      </c>
      <c r="BK183" s="23"/>
      <c r="BL183" s="23">
        <v>784</v>
      </c>
      <c r="BW183" s="23">
        <v>21</v>
      </c>
    </row>
    <row r="184" spans="1:75" x14ac:dyDescent="0.25">
      <c r="A184" s="30"/>
      <c r="C184" s="31" t="s">
        <v>91</v>
      </c>
      <c r="D184" s="31" t="s">
        <v>53</v>
      </c>
      <c r="F184" s="32">
        <v>125.45</v>
      </c>
      <c r="L184" s="33"/>
    </row>
    <row r="185" spans="1:75" x14ac:dyDescent="0.25">
      <c r="A185" s="26" t="s">
        <v>53</v>
      </c>
      <c r="B185" s="27" t="s">
        <v>378</v>
      </c>
      <c r="C185" s="98" t="s">
        <v>560</v>
      </c>
      <c r="D185" s="99"/>
      <c r="E185" s="28" t="s">
        <v>10</v>
      </c>
      <c r="F185" s="28" t="s">
        <v>10</v>
      </c>
      <c r="G185" s="28" t="s">
        <v>10</v>
      </c>
      <c r="H185" s="1">
        <f>SUM(H186:H201)</f>
        <v>0</v>
      </c>
      <c r="I185" s="1">
        <f>SUM(I186:I201)</f>
        <v>0</v>
      </c>
      <c r="J185" s="1">
        <f>SUM(J186:J201)</f>
        <v>0</v>
      </c>
      <c r="K185" s="8" t="s">
        <v>53</v>
      </c>
      <c r="L185" s="29" t="s">
        <v>53</v>
      </c>
      <c r="AI185" s="8" t="s">
        <v>53</v>
      </c>
      <c r="AS185" s="1">
        <f>SUM(AJ186:AJ201)</f>
        <v>0</v>
      </c>
      <c r="AT185" s="1">
        <f>SUM(AK186:AK201)</f>
        <v>0</v>
      </c>
      <c r="AU185" s="1">
        <f>SUM(AL186:AL201)</f>
        <v>0</v>
      </c>
    </row>
    <row r="186" spans="1:75" ht="13.5" customHeight="1" x14ac:dyDescent="0.25">
      <c r="A186" s="2" t="s">
        <v>561</v>
      </c>
      <c r="B186" s="3" t="s">
        <v>562</v>
      </c>
      <c r="C186" s="80" t="s">
        <v>563</v>
      </c>
      <c r="D186" s="75"/>
      <c r="E186" s="3" t="s">
        <v>528</v>
      </c>
      <c r="F186" s="23">
        <v>35</v>
      </c>
      <c r="G186" s="23">
        <v>0</v>
      </c>
      <c r="H186" s="23">
        <f t="shared" ref="H186:H201" si="200">F186*AO186</f>
        <v>0</v>
      </c>
      <c r="I186" s="23">
        <f t="shared" ref="I186:I201" si="201">F186*AP186</f>
        <v>0</v>
      </c>
      <c r="J186" s="23">
        <f t="shared" ref="J186:J201" si="202">F186*G186</f>
        <v>0</v>
      </c>
      <c r="K186" s="23">
        <v>0</v>
      </c>
      <c r="L186" s="24">
        <v>1E-3</v>
      </c>
      <c r="Z186" s="23">
        <f t="shared" ref="Z186:Z201" si="203">IF(AQ186="5",BJ186,0)</f>
        <v>0</v>
      </c>
      <c r="AB186" s="23">
        <f t="shared" ref="AB186:AB201" si="204">IF(AQ186="1",BH186,0)</f>
        <v>0</v>
      </c>
      <c r="AC186" s="23">
        <f t="shared" ref="AC186:AC201" si="205">IF(AQ186="1",BI186,0)</f>
        <v>0</v>
      </c>
      <c r="AD186" s="23">
        <f t="shared" ref="AD186:AD201" si="206">IF(AQ186="7",BH186,0)</f>
        <v>0</v>
      </c>
      <c r="AE186" s="23">
        <f t="shared" ref="AE186:AE201" si="207">IF(AQ186="7",BI186,0)</f>
        <v>0</v>
      </c>
      <c r="AF186" s="23">
        <f t="shared" ref="AF186:AF201" si="208">IF(AQ186="2",BH186,0)</f>
        <v>0</v>
      </c>
      <c r="AG186" s="23">
        <f t="shared" ref="AG186:AG201" si="209">IF(AQ186="2",BI186,0)</f>
        <v>0</v>
      </c>
      <c r="AH186" s="23">
        <f t="shared" ref="AH186:AH201" si="210">IF(AQ186="0",BJ186,0)</f>
        <v>0</v>
      </c>
      <c r="AI186" s="8" t="s">
        <v>53</v>
      </c>
      <c r="AJ186" s="23">
        <f t="shared" ref="AJ186:AJ201" si="211">IF(AN186=0,J186,0)</f>
        <v>0</v>
      </c>
      <c r="AK186" s="23">
        <f t="shared" ref="AK186:AK201" si="212">IF(AN186=12,J186,0)</f>
        <v>0</v>
      </c>
      <c r="AL186" s="23">
        <f t="shared" ref="AL186:AL201" si="213">IF(AN186=21,J186,0)</f>
        <v>0</v>
      </c>
      <c r="AN186" s="23">
        <v>21</v>
      </c>
      <c r="AO186" s="23">
        <f>G186*0</f>
        <v>0</v>
      </c>
      <c r="AP186" s="23">
        <f>G186*(1-0)</f>
        <v>0</v>
      </c>
      <c r="AQ186" s="25" t="s">
        <v>56</v>
      </c>
      <c r="AV186" s="23">
        <f t="shared" ref="AV186:AV201" si="214">AW186+AX186</f>
        <v>0</v>
      </c>
      <c r="AW186" s="23">
        <f t="shared" ref="AW186:AW201" si="215">F186*AO186</f>
        <v>0</v>
      </c>
      <c r="AX186" s="23">
        <f t="shared" ref="AX186:AX201" si="216">F186*AP186</f>
        <v>0</v>
      </c>
      <c r="AY186" s="25" t="s">
        <v>564</v>
      </c>
      <c r="AZ186" s="25" t="s">
        <v>565</v>
      </c>
      <c r="BA186" s="8" t="s">
        <v>62</v>
      </c>
      <c r="BC186" s="23">
        <f t="shared" ref="BC186:BC201" si="217">AW186+AX186</f>
        <v>0</v>
      </c>
      <c r="BD186" s="23">
        <f t="shared" ref="BD186:BD201" si="218">G186/(100-BE186)*100</f>
        <v>0</v>
      </c>
      <c r="BE186" s="23">
        <v>0</v>
      </c>
      <c r="BF186" s="23">
        <f>186</f>
        <v>186</v>
      </c>
      <c r="BH186" s="23">
        <f t="shared" ref="BH186:BH201" si="219">F186*AO186</f>
        <v>0</v>
      </c>
      <c r="BI186" s="23">
        <f t="shared" ref="BI186:BI201" si="220">F186*AP186</f>
        <v>0</v>
      </c>
      <c r="BJ186" s="23">
        <f t="shared" ref="BJ186:BJ201" si="221">F186*G186</f>
        <v>0</v>
      </c>
      <c r="BK186" s="23"/>
      <c r="BL186" s="23">
        <v>95</v>
      </c>
      <c r="BW186" s="23">
        <v>21</v>
      </c>
    </row>
    <row r="187" spans="1:75" ht="13.5" customHeight="1" x14ac:dyDescent="0.25">
      <c r="A187" s="2" t="s">
        <v>566</v>
      </c>
      <c r="B187" s="3" t="s">
        <v>567</v>
      </c>
      <c r="C187" s="80" t="s">
        <v>568</v>
      </c>
      <c r="D187" s="75"/>
      <c r="E187" s="3" t="s">
        <v>102</v>
      </c>
      <c r="F187" s="23">
        <v>24</v>
      </c>
      <c r="G187" s="23">
        <v>0</v>
      </c>
      <c r="H187" s="23">
        <f t="shared" si="200"/>
        <v>0</v>
      </c>
      <c r="I187" s="23">
        <f t="shared" si="201"/>
        <v>0</v>
      </c>
      <c r="J187" s="23">
        <f t="shared" si="202"/>
        <v>0</v>
      </c>
      <c r="K187" s="23">
        <v>0</v>
      </c>
      <c r="L187" s="24">
        <v>0</v>
      </c>
      <c r="Z187" s="23">
        <f t="shared" si="203"/>
        <v>0</v>
      </c>
      <c r="AB187" s="23">
        <f t="shared" si="204"/>
        <v>0</v>
      </c>
      <c r="AC187" s="23">
        <f t="shared" si="205"/>
        <v>0</v>
      </c>
      <c r="AD187" s="23">
        <f t="shared" si="206"/>
        <v>0</v>
      </c>
      <c r="AE187" s="23">
        <f t="shared" si="207"/>
        <v>0</v>
      </c>
      <c r="AF187" s="23">
        <f t="shared" si="208"/>
        <v>0</v>
      </c>
      <c r="AG187" s="23">
        <f t="shared" si="209"/>
        <v>0</v>
      </c>
      <c r="AH187" s="23">
        <f t="shared" si="210"/>
        <v>0</v>
      </c>
      <c r="AI187" s="8" t="s">
        <v>53</v>
      </c>
      <c r="AJ187" s="23">
        <f t="shared" si="211"/>
        <v>0</v>
      </c>
      <c r="AK187" s="23">
        <f t="shared" si="212"/>
        <v>0</v>
      </c>
      <c r="AL187" s="23">
        <f t="shared" si="213"/>
        <v>0</v>
      </c>
      <c r="AN187" s="23">
        <v>21</v>
      </c>
      <c r="AO187" s="23">
        <f>G187*0.009520787</f>
        <v>0</v>
      </c>
      <c r="AP187" s="23">
        <f>G187*(1-0.009520787)</f>
        <v>0</v>
      </c>
      <c r="AQ187" s="25" t="s">
        <v>56</v>
      </c>
      <c r="AV187" s="23">
        <f t="shared" si="214"/>
        <v>0</v>
      </c>
      <c r="AW187" s="23">
        <f t="shared" si="215"/>
        <v>0</v>
      </c>
      <c r="AX187" s="23">
        <f t="shared" si="216"/>
        <v>0</v>
      </c>
      <c r="AY187" s="25" t="s">
        <v>564</v>
      </c>
      <c r="AZ187" s="25" t="s">
        <v>565</v>
      </c>
      <c r="BA187" s="8" t="s">
        <v>62</v>
      </c>
      <c r="BC187" s="23">
        <f t="shared" si="217"/>
        <v>0</v>
      </c>
      <c r="BD187" s="23">
        <f t="shared" si="218"/>
        <v>0</v>
      </c>
      <c r="BE187" s="23">
        <v>0</v>
      </c>
      <c r="BF187" s="23">
        <f>187</f>
        <v>187</v>
      </c>
      <c r="BH187" s="23">
        <f t="shared" si="219"/>
        <v>0</v>
      </c>
      <c r="BI187" s="23">
        <f t="shared" si="220"/>
        <v>0</v>
      </c>
      <c r="BJ187" s="23">
        <f t="shared" si="221"/>
        <v>0</v>
      </c>
      <c r="BK187" s="23"/>
      <c r="BL187" s="23">
        <v>95</v>
      </c>
      <c r="BW187" s="23">
        <v>21</v>
      </c>
    </row>
    <row r="188" spans="1:75" ht="13.5" customHeight="1" x14ac:dyDescent="0.25">
      <c r="A188" s="2" t="s">
        <v>569</v>
      </c>
      <c r="B188" s="3" t="s">
        <v>570</v>
      </c>
      <c r="C188" s="80" t="s">
        <v>571</v>
      </c>
      <c r="D188" s="75"/>
      <c r="E188" s="3" t="s">
        <v>68</v>
      </c>
      <c r="F188" s="23">
        <v>3</v>
      </c>
      <c r="G188" s="23">
        <v>0</v>
      </c>
      <c r="H188" s="23">
        <f t="shared" si="200"/>
        <v>0</v>
      </c>
      <c r="I188" s="23">
        <f t="shared" si="201"/>
        <v>0</v>
      </c>
      <c r="J188" s="23">
        <f t="shared" si="202"/>
        <v>0</v>
      </c>
      <c r="K188" s="23">
        <v>1E-3</v>
      </c>
      <c r="L188" s="24">
        <v>1E-3</v>
      </c>
      <c r="Z188" s="23">
        <f t="shared" si="203"/>
        <v>0</v>
      </c>
      <c r="AB188" s="23">
        <f t="shared" si="204"/>
        <v>0</v>
      </c>
      <c r="AC188" s="23">
        <f t="shared" si="205"/>
        <v>0</v>
      </c>
      <c r="AD188" s="23">
        <f t="shared" si="206"/>
        <v>0</v>
      </c>
      <c r="AE188" s="23">
        <f t="shared" si="207"/>
        <v>0</v>
      </c>
      <c r="AF188" s="23">
        <f t="shared" si="208"/>
        <v>0</v>
      </c>
      <c r="AG188" s="23">
        <f t="shared" si="209"/>
        <v>0</v>
      </c>
      <c r="AH188" s="23">
        <f t="shared" si="210"/>
        <v>0</v>
      </c>
      <c r="AI188" s="8" t="s">
        <v>53</v>
      </c>
      <c r="AJ188" s="23">
        <f t="shared" si="211"/>
        <v>0</v>
      </c>
      <c r="AK188" s="23">
        <f t="shared" si="212"/>
        <v>0</v>
      </c>
      <c r="AL188" s="23">
        <f t="shared" si="213"/>
        <v>0</v>
      </c>
      <c r="AN188" s="23">
        <v>21</v>
      </c>
      <c r="AO188" s="23">
        <f t="shared" ref="AO188:AO201" si="222">G188*1</f>
        <v>0</v>
      </c>
      <c r="AP188" s="23">
        <f t="shared" ref="AP188:AP201" si="223">G188*(1-1)</f>
        <v>0</v>
      </c>
      <c r="AQ188" s="25" t="s">
        <v>56</v>
      </c>
      <c r="AV188" s="23">
        <f t="shared" si="214"/>
        <v>0</v>
      </c>
      <c r="AW188" s="23">
        <f t="shared" si="215"/>
        <v>0</v>
      </c>
      <c r="AX188" s="23">
        <f t="shared" si="216"/>
        <v>0</v>
      </c>
      <c r="AY188" s="25" t="s">
        <v>564</v>
      </c>
      <c r="AZ188" s="25" t="s">
        <v>565</v>
      </c>
      <c r="BA188" s="8" t="s">
        <v>62</v>
      </c>
      <c r="BC188" s="23">
        <f t="shared" si="217"/>
        <v>0</v>
      </c>
      <c r="BD188" s="23">
        <f t="shared" si="218"/>
        <v>0</v>
      </c>
      <c r="BE188" s="23">
        <v>0</v>
      </c>
      <c r="BF188" s="23">
        <f>188</f>
        <v>188</v>
      </c>
      <c r="BH188" s="23">
        <f t="shared" si="219"/>
        <v>0</v>
      </c>
      <c r="BI188" s="23">
        <f t="shared" si="220"/>
        <v>0</v>
      </c>
      <c r="BJ188" s="23">
        <f t="shared" si="221"/>
        <v>0</v>
      </c>
      <c r="BK188" s="23"/>
      <c r="BL188" s="23">
        <v>95</v>
      </c>
      <c r="BW188" s="23">
        <v>21</v>
      </c>
    </row>
    <row r="189" spans="1:75" ht="13.5" customHeight="1" x14ac:dyDescent="0.25">
      <c r="A189" s="2" t="s">
        <v>572</v>
      </c>
      <c r="B189" s="3" t="s">
        <v>573</v>
      </c>
      <c r="C189" s="80" t="s">
        <v>574</v>
      </c>
      <c r="D189" s="75"/>
      <c r="E189" s="3" t="s">
        <v>68</v>
      </c>
      <c r="F189" s="23">
        <v>3</v>
      </c>
      <c r="G189" s="23">
        <v>0</v>
      </c>
      <c r="H189" s="23">
        <f t="shared" si="200"/>
        <v>0</v>
      </c>
      <c r="I189" s="23">
        <f t="shared" si="201"/>
        <v>0</v>
      </c>
      <c r="J189" s="23">
        <f t="shared" si="202"/>
        <v>0</v>
      </c>
      <c r="K189" s="23">
        <v>5.0000000000000001E-3</v>
      </c>
      <c r="L189" s="24">
        <v>5.0000000000000001E-3</v>
      </c>
      <c r="Z189" s="23">
        <f t="shared" si="203"/>
        <v>0</v>
      </c>
      <c r="AB189" s="23">
        <f t="shared" si="204"/>
        <v>0</v>
      </c>
      <c r="AC189" s="23">
        <f t="shared" si="205"/>
        <v>0</v>
      </c>
      <c r="AD189" s="23">
        <f t="shared" si="206"/>
        <v>0</v>
      </c>
      <c r="AE189" s="23">
        <f t="shared" si="207"/>
        <v>0</v>
      </c>
      <c r="AF189" s="23">
        <f t="shared" si="208"/>
        <v>0</v>
      </c>
      <c r="AG189" s="23">
        <f t="shared" si="209"/>
        <v>0</v>
      </c>
      <c r="AH189" s="23">
        <f t="shared" si="210"/>
        <v>0</v>
      </c>
      <c r="AI189" s="8" t="s">
        <v>53</v>
      </c>
      <c r="AJ189" s="23">
        <f t="shared" si="211"/>
        <v>0</v>
      </c>
      <c r="AK189" s="23">
        <f t="shared" si="212"/>
        <v>0</v>
      </c>
      <c r="AL189" s="23">
        <f t="shared" si="213"/>
        <v>0</v>
      </c>
      <c r="AN189" s="23">
        <v>21</v>
      </c>
      <c r="AO189" s="23">
        <f t="shared" si="222"/>
        <v>0</v>
      </c>
      <c r="AP189" s="23">
        <f t="shared" si="223"/>
        <v>0</v>
      </c>
      <c r="AQ189" s="25" t="s">
        <v>56</v>
      </c>
      <c r="AV189" s="23">
        <f t="shared" si="214"/>
        <v>0</v>
      </c>
      <c r="AW189" s="23">
        <f t="shared" si="215"/>
        <v>0</v>
      </c>
      <c r="AX189" s="23">
        <f t="shared" si="216"/>
        <v>0</v>
      </c>
      <c r="AY189" s="25" t="s">
        <v>564</v>
      </c>
      <c r="AZ189" s="25" t="s">
        <v>565</v>
      </c>
      <c r="BA189" s="8" t="s">
        <v>62</v>
      </c>
      <c r="BC189" s="23">
        <f t="shared" si="217"/>
        <v>0</v>
      </c>
      <c r="BD189" s="23">
        <f t="shared" si="218"/>
        <v>0</v>
      </c>
      <c r="BE189" s="23">
        <v>0</v>
      </c>
      <c r="BF189" s="23">
        <f>189</f>
        <v>189</v>
      </c>
      <c r="BH189" s="23">
        <f t="shared" si="219"/>
        <v>0</v>
      </c>
      <c r="BI189" s="23">
        <f t="shared" si="220"/>
        <v>0</v>
      </c>
      <c r="BJ189" s="23">
        <f t="shared" si="221"/>
        <v>0</v>
      </c>
      <c r="BK189" s="23"/>
      <c r="BL189" s="23">
        <v>95</v>
      </c>
      <c r="BW189" s="23">
        <v>21</v>
      </c>
    </row>
    <row r="190" spans="1:75" ht="13.5" customHeight="1" x14ac:dyDescent="0.25">
      <c r="A190" s="2" t="s">
        <v>575</v>
      </c>
      <c r="B190" s="3" t="s">
        <v>576</v>
      </c>
      <c r="C190" s="80" t="s">
        <v>577</v>
      </c>
      <c r="D190" s="75"/>
      <c r="E190" s="3" t="s">
        <v>68</v>
      </c>
      <c r="F190" s="23">
        <v>2</v>
      </c>
      <c r="G190" s="23">
        <v>0</v>
      </c>
      <c r="H190" s="23">
        <f t="shared" si="200"/>
        <v>0</v>
      </c>
      <c r="I190" s="23">
        <f t="shared" si="201"/>
        <v>0</v>
      </c>
      <c r="J190" s="23">
        <f t="shared" si="202"/>
        <v>0</v>
      </c>
      <c r="K190" s="23">
        <v>4.0000000000000001E-3</v>
      </c>
      <c r="L190" s="24">
        <v>4.0000000000000001E-3</v>
      </c>
      <c r="Z190" s="23">
        <f t="shared" si="203"/>
        <v>0</v>
      </c>
      <c r="AB190" s="23">
        <f t="shared" si="204"/>
        <v>0</v>
      </c>
      <c r="AC190" s="23">
        <f t="shared" si="205"/>
        <v>0</v>
      </c>
      <c r="AD190" s="23">
        <f t="shared" si="206"/>
        <v>0</v>
      </c>
      <c r="AE190" s="23">
        <f t="shared" si="207"/>
        <v>0</v>
      </c>
      <c r="AF190" s="23">
        <f t="shared" si="208"/>
        <v>0</v>
      </c>
      <c r="AG190" s="23">
        <f t="shared" si="209"/>
        <v>0</v>
      </c>
      <c r="AH190" s="23">
        <f t="shared" si="210"/>
        <v>0</v>
      </c>
      <c r="AI190" s="8" t="s">
        <v>53</v>
      </c>
      <c r="AJ190" s="23">
        <f t="shared" si="211"/>
        <v>0</v>
      </c>
      <c r="AK190" s="23">
        <f t="shared" si="212"/>
        <v>0</v>
      </c>
      <c r="AL190" s="23">
        <f t="shared" si="213"/>
        <v>0</v>
      </c>
      <c r="AN190" s="23">
        <v>21</v>
      </c>
      <c r="AO190" s="23">
        <f t="shared" si="222"/>
        <v>0</v>
      </c>
      <c r="AP190" s="23">
        <f t="shared" si="223"/>
        <v>0</v>
      </c>
      <c r="AQ190" s="25" t="s">
        <v>56</v>
      </c>
      <c r="AV190" s="23">
        <f t="shared" si="214"/>
        <v>0</v>
      </c>
      <c r="AW190" s="23">
        <f t="shared" si="215"/>
        <v>0</v>
      </c>
      <c r="AX190" s="23">
        <f t="shared" si="216"/>
        <v>0</v>
      </c>
      <c r="AY190" s="25" t="s">
        <v>564</v>
      </c>
      <c r="AZ190" s="25" t="s">
        <v>565</v>
      </c>
      <c r="BA190" s="8" t="s">
        <v>62</v>
      </c>
      <c r="BC190" s="23">
        <f t="shared" si="217"/>
        <v>0</v>
      </c>
      <c r="BD190" s="23">
        <f t="shared" si="218"/>
        <v>0</v>
      </c>
      <c r="BE190" s="23">
        <v>0</v>
      </c>
      <c r="BF190" s="23">
        <f>190</f>
        <v>190</v>
      </c>
      <c r="BH190" s="23">
        <f t="shared" si="219"/>
        <v>0</v>
      </c>
      <c r="BI190" s="23">
        <f t="shared" si="220"/>
        <v>0</v>
      </c>
      <c r="BJ190" s="23">
        <f t="shared" si="221"/>
        <v>0</v>
      </c>
      <c r="BK190" s="23"/>
      <c r="BL190" s="23">
        <v>95</v>
      </c>
      <c r="BW190" s="23">
        <v>21</v>
      </c>
    </row>
    <row r="191" spans="1:75" ht="13.5" customHeight="1" x14ac:dyDescent="0.25">
      <c r="A191" s="2" t="s">
        <v>578</v>
      </c>
      <c r="B191" s="3" t="s">
        <v>579</v>
      </c>
      <c r="C191" s="80" t="s">
        <v>580</v>
      </c>
      <c r="D191" s="75"/>
      <c r="E191" s="3" t="s">
        <v>68</v>
      </c>
      <c r="F191" s="23">
        <v>1</v>
      </c>
      <c r="G191" s="23">
        <v>0</v>
      </c>
      <c r="H191" s="23">
        <f t="shared" si="200"/>
        <v>0</v>
      </c>
      <c r="I191" s="23">
        <f t="shared" si="201"/>
        <v>0</v>
      </c>
      <c r="J191" s="23">
        <f t="shared" si="202"/>
        <v>0</v>
      </c>
      <c r="K191" s="23">
        <v>8.9999999999999993E-3</v>
      </c>
      <c r="L191" s="24">
        <v>8.9999999999999993E-3</v>
      </c>
      <c r="Z191" s="23">
        <f t="shared" si="203"/>
        <v>0</v>
      </c>
      <c r="AB191" s="23">
        <f t="shared" si="204"/>
        <v>0</v>
      </c>
      <c r="AC191" s="23">
        <f t="shared" si="205"/>
        <v>0</v>
      </c>
      <c r="AD191" s="23">
        <f t="shared" si="206"/>
        <v>0</v>
      </c>
      <c r="AE191" s="23">
        <f t="shared" si="207"/>
        <v>0</v>
      </c>
      <c r="AF191" s="23">
        <f t="shared" si="208"/>
        <v>0</v>
      </c>
      <c r="AG191" s="23">
        <f t="shared" si="209"/>
        <v>0</v>
      </c>
      <c r="AH191" s="23">
        <f t="shared" si="210"/>
        <v>0</v>
      </c>
      <c r="AI191" s="8" t="s">
        <v>53</v>
      </c>
      <c r="AJ191" s="23">
        <f t="shared" si="211"/>
        <v>0</v>
      </c>
      <c r="AK191" s="23">
        <f t="shared" si="212"/>
        <v>0</v>
      </c>
      <c r="AL191" s="23">
        <f t="shared" si="213"/>
        <v>0</v>
      </c>
      <c r="AN191" s="23">
        <v>21</v>
      </c>
      <c r="AO191" s="23">
        <f t="shared" si="222"/>
        <v>0</v>
      </c>
      <c r="AP191" s="23">
        <f t="shared" si="223"/>
        <v>0</v>
      </c>
      <c r="AQ191" s="25" t="s">
        <v>56</v>
      </c>
      <c r="AV191" s="23">
        <f t="shared" si="214"/>
        <v>0</v>
      </c>
      <c r="AW191" s="23">
        <f t="shared" si="215"/>
        <v>0</v>
      </c>
      <c r="AX191" s="23">
        <f t="shared" si="216"/>
        <v>0</v>
      </c>
      <c r="AY191" s="25" t="s">
        <v>564</v>
      </c>
      <c r="AZ191" s="25" t="s">
        <v>565</v>
      </c>
      <c r="BA191" s="8" t="s">
        <v>62</v>
      </c>
      <c r="BC191" s="23">
        <f t="shared" si="217"/>
        <v>0</v>
      </c>
      <c r="BD191" s="23">
        <f t="shared" si="218"/>
        <v>0</v>
      </c>
      <c r="BE191" s="23">
        <v>0</v>
      </c>
      <c r="BF191" s="23">
        <f>191</f>
        <v>191</v>
      </c>
      <c r="BH191" s="23">
        <f t="shared" si="219"/>
        <v>0</v>
      </c>
      <c r="BI191" s="23">
        <f t="shared" si="220"/>
        <v>0</v>
      </c>
      <c r="BJ191" s="23">
        <f t="shared" si="221"/>
        <v>0</v>
      </c>
      <c r="BK191" s="23"/>
      <c r="BL191" s="23">
        <v>95</v>
      </c>
      <c r="BW191" s="23">
        <v>21</v>
      </c>
    </row>
    <row r="192" spans="1:75" ht="13.5" customHeight="1" x14ac:dyDescent="0.25">
      <c r="A192" s="2" t="s">
        <v>581</v>
      </c>
      <c r="B192" s="3" t="s">
        <v>582</v>
      </c>
      <c r="C192" s="80" t="s">
        <v>583</v>
      </c>
      <c r="D192" s="75"/>
      <c r="E192" s="3" t="s">
        <v>68</v>
      </c>
      <c r="F192" s="23">
        <v>1</v>
      </c>
      <c r="G192" s="23">
        <v>0</v>
      </c>
      <c r="H192" s="23">
        <f t="shared" si="200"/>
        <v>0</v>
      </c>
      <c r="I192" s="23">
        <f t="shared" si="201"/>
        <v>0</v>
      </c>
      <c r="J192" s="23">
        <f t="shared" si="202"/>
        <v>0</v>
      </c>
      <c r="K192" s="23">
        <v>0.02</v>
      </c>
      <c r="L192" s="24">
        <v>0.02</v>
      </c>
      <c r="Z192" s="23">
        <f t="shared" si="203"/>
        <v>0</v>
      </c>
      <c r="AB192" s="23">
        <f t="shared" si="204"/>
        <v>0</v>
      </c>
      <c r="AC192" s="23">
        <f t="shared" si="205"/>
        <v>0</v>
      </c>
      <c r="AD192" s="23">
        <f t="shared" si="206"/>
        <v>0</v>
      </c>
      <c r="AE192" s="23">
        <f t="shared" si="207"/>
        <v>0</v>
      </c>
      <c r="AF192" s="23">
        <f t="shared" si="208"/>
        <v>0</v>
      </c>
      <c r="AG192" s="23">
        <f t="shared" si="209"/>
        <v>0</v>
      </c>
      <c r="AH192" s="23">
        <f t="shared" si="210"/>
        <v>0</v>
      </c>
      <c r="AI192" s="8" t="s">
        <v>53</v>
      </c>
      <c r="AJ192" s="23">
        <f t="shared" si="211"/>
        <v>0</v>
      </c>
      <c r="AK192" s="23">
        <f t="shared" si="212"/>
        <v>0</v>
      </c>
      <c r="AL192" s="23">
        <f t="shared" si="213"/>
        <v>0</v>
      </c>
      <c r="AN192" s="23">
        <v>21</v>
      </c>
      <c r="AO192" s="23">
        <f t="shared" si="222"/>
        <v>0</v>
      </c>
      <c r="AP192" s="23">
        <f t="shared" si="223"/>
        <v>0</v>
      </c>
      <c r="AQ192" s="25" t="s">
        <v>56</v>
      </c>
      <c r="AV192" s="23">
        <f t="shared" si="214"/>
        <v>0</v>
      </c>
      <c r="AW192" s="23">
        <f t="shared" si="215"/>
        <v>0</v>
      </c>
      <c r="AX192" s="23">
        <f t="shared" si="216"/>
        <v>0</v>
      </c>
      <c r="AY192" s="25" t="s">
        <v>564</v>
      </c>
      <c r="AZ192" s="25" t="s">
        <v>565</v>
      </c>
      <c r="BA192" s="8" t="s">
        <v>62</v>
      </c>
      <c r="BC192" s="23">
        <f t="shared" si="217"/>
        <v>0</v>
      </c>
      <c r="BD192" s="23">
        <f t="shared" si="218"/>
        <v>0</v>
      </c>
      <c r="BE192" s="23">
        <v>0</v>
      </c>
      <c r="BF192" s="23">
        <f>192</f>
        <v>192</v>
      </c>
      <c r="BH192" s="23">
        <f t="shared" si="219"/>
        <v>0</v>
      </c>
      <c r="BI192" s="23">
        <f t="shared" si="220"/>
        <v>0</v>
      </c>
      <c r="BJ192" s="23">
        <f t="shared" si="221"/>
        <v>0</v>
      </c>
      <c r="BK192" s="23"/>
      <c r="BL192" s="23">
        <v>95</v>
      </c>
      <c r="BW192" s="23">
        <v>21</v>
      </c>
    </row>
    <row r="193" spans="1:75" ht="13.5" customHeight="1" x14ac:dyDescent="0.25">
      <c r="A193" s="2" t="s">
        <v>584</v>
      </c>
      <c r="B193" s="3" t="s">
        <v>585</v>
      </c>
      <c r="C193" s="80" t="s">
        <v>586</v>
      </c>
      <c r="D193" s="75"/>
      <c r="E193" s="3" t="s">
        <v>68</v>
      </c>
      <c r="F193" s="23">
        <v>1</v>
      </c>
      <c r="G193" s="23">
        <v>0</v>
      </c>
      <c r="H193" s="23">
        <f t="shared" si="200"/>
        <v>0</v>
      </c>
      <c r="I193" s="23">
        <f t="shared" si="201"/>
        <v>0</v>
      </c>
      <c r="J193" s="23">
        <f t="shared" si="202"/>
        <v>0</v>
      </c>
      <c r="K193" s="23">
        <v>5.0000000000000001E-3</v>
      </c>
      <c r="L193" s="24">
        <v>5.0000000000000001E-3</v>
      </c>
      <c r="Z193" s="23">
        <f t="shared" si="203"/>
        <v>0</v>
      </c>
      <c r="AB193" s="23">
        <f t="shared" si="204"/>
        <v>0</v>
      </c>
      <c r="AC193" s="23">
        <f t="shared" si="205"/>
        <v>0</v>
      </c>
      <c r="AD193" s="23">
        <f t="shared" si="206"/>
        <v>0</v>
      </c>
      <c r="AE193" s="23">
        <f t="shared" si="207"/>
        <v>0</v>
      </c>
      <c r="AF193" s="23">
        <f t="shared" si="208"/>
        <v>0</v>
      </c>
      <c r="AG193" s="23">
        <f t="shared" si="209"/>
        <v>0</v>
      </c>
      <c r="AH193" s="23">
        <f t="shared" si="210"/>
        <v>0</v>
      </c>
      <c r="AI193" s="8" t="s">
        <v>53</v>
      </c>
      <c r="AJ193" s="23">
        <f t="shared" si="211"/>
        <v>0</v>
      </c>
      <c r="AK193" s="23">
        <f t="shared" si="212"/>
        <v>0</v>
      </c>
      <c r="AL193" s="23">
        <f t="shared" si="213"/>
        <v>0</v>
      </c>
      <c r="AN193" s="23">
        <v>21</v>
      </c>
      <c r="AO193" s="23">
        <f t="shared" si="222"/>
        <v>0</v>
      </c>
      <c r="AP193" s="23">
        <f t="shared" si="223"/>
        <v>0</v>
      </c>
      <c r="AQ193" s="25" t="s">
        <v>56</v>
      </c>
      <c r="AV193" s="23">
        <f t="shared" si="214"/>
        <v>0</v>
      </c>
      <c r="AW193" s="23">
        <f t="shared" si="215"/>
        <v>0</v>
      </c>
      <c r="AX193" s="23">
        <f t="shared" si="216"/>
        <v>0</v>
      </c>
      <c r="AY193" s="25" t="s">
        <v>564</v>
      </c>
      <c r="AZ193" s="25" t="s">
        <v>565</v>
      </c>
      <c r="BA193" s="8" t="s">
        <v>62</v>
      </c>
      <c r="BC193" s="23">
        <f t="shared" si="217"/>
        <v>0</v>
      </c>
      <c r="BD193" s="23">
        <f t="shared" si="218"/>
        <v>0</v>
      </c>
      <c r="BE193" s="23">
        <v>0</v>
      </c>
      <c r="BF193" s="23">
        <f>193</f>
        <v>193</v>
      </c>
      <c r="BH193" s="23">
        <f t="shared" si="219"/>
        <v>0</v>
      </c>
      <c r="BI193" s="23">
        <f t="shared" si="220"/>
        <v>0</v>
      </c>
      <c r="BJ193" s="23">
        <f t="shared" si="221"/>
        <v>0</v>
      </c>
      <c r="BK193" s="23"/>
      <c r="BL193" s="23">
        <v>95</v>
      </c>
      <c r="BW193" s="23">
        <v>21</v>
      </c>
    </row>
    <row r="194" spans="1:75" ht="13.5" customHeight="1" x14ac:dyDescent="0.25">
      <c r="A194" s="2" t="s">
        <v>587</v>
      </c>
      <c r="B194" s="3" t="s">
        <v>588</v>
      </c>
      <c r="C194" s="80" t="s">
        <v>589</v>
      </c>
      <c r="D194" s="75"/>
      <c r="E194" s="3" t="s">
        <v>68</v>
      </c>
      <c r="F194" s="23">
        <v>1</v>
      </c>
      <c r="G194" s="23">
        <v>0</v>
      </c>
      <c r="H194" s="23">
        <f t="shared" si="200"/>
        <v>0</v>
      </c>
      <c r="I194" s="23">
        <f t="shared" si="201"/>
        <v>0</v>
      </c>
      <c r="J194" s="23">
        <f t="shared" si="202"/>
        <v>0</v>
      </c>
      <c r="K194" s="23">
        <v>2E-3</v>
      </c>
      <c r="L194" s="24">
        <v>2E-3</v>
      </c>
      <c r="Z194" s="23">
        <f t="shared" si="203"/>
        <v>0</v>
      </c>
      <c r="AB194" s="23">
        <f t="shared" si="204"/>
        <v>0</v>
      </c>
      <c r="AC194" s="23">
        <f t="shared" si="205"/>
        <v>0</v>
      </c>
      <c r="AD194" s="23">
        <f t="shared" si="206"/>
        <v>0</v>
      </c>
      <c r="AE194" s="23">
        <f t="shared" si="207"/>
        <v>0</v>
      </c>
      <c r="AF194" s="23">
        <f t="shared" si="208"/>
        <v>0</v>
      </c>
      <c r="AG194" s="23">
        <f t="shared" si="209"/>
        <v>0</v>
      </c>
      <c r="AH194" s="23">
        <f t="shared" si="210"/>
        <v>0</v>
      </c>
      <c r="AI194" s="8" t="s">
        <v>53</v>
      </c>
      <c r="AJ194" s="23">
        <f t="shared" si="211"/>
        <v>0</v>
      </c>
      <c r="AK194" s="23">
        <f t="shared" si="212"/>
        <v>0</v>
      </c>
      <c r="AL194" s="23">
        <f t="shared" si="213"/>
        <v>0</v>
      </c>
      <c r="AN194" s="23">
        <v>21</v>
      </c>
      <c r="AO194" s="23">
        <f t="shared" si="222"/>
        <v>0</v>
      </c>
      <c r="AP194" s="23">
        <f t="shared" si="223"/>
        <v>0</v>
      </c>
      <c r="AQ194" s="25" t="s">
        <v>56</v>
      </c>
      <c r="AV194" s="23">
        <f t="shared" si="214"/>
        <v>0</v>
      </c>
      <c r="AW194" s="23">
        <f t="shared" si="215"/>
        <v>0</v>
      </c>
      <c r="AX194" s="23">
        <f t="shared" si="216"/>
        <v>0</v>
      </c>
      <c r="AY194" s="25" t="s">
        <v>564</v>
      </c>
      <c r="AZ194" s="25" t="s">
        <v>565</v>
      </c>
      <c r="BA194" s="8" t="s">
        <v>62</v>
      </c>
      <c r="BC194" s="23">
        <f t="shared" si="217"/>
        <v>0</v>
      </c>
      <c r="BD194" s="23">
        <f t="shared" si="218"/>
        <v>0</v>
      </c>
      <c r="BE194" s="23">
        <v>0</v>
      </c>
      <c r="BF194" s="23">
        <f>194</f>
        <v>194</v>
      </c>
      <c r="BH194" s="23">
        <f t="shared" si="219"/>
        <v>0</v>
      </c>
      <c r="BI194" s="23">
        <f t="shared" si="220"/>
        <v>0</v>
      </c>
      <c r="BJ194" s="23">
        <f t="shared" si="221"/>
        <v>0</v>
      </c>
      <c r="BK194" s="23"/>
      <c r="BL194" s="23">
        <v>95</v>
      </c>
      <c r="BW194" s="23">
        <v>21</v>
      </c>
    </row>
    <row r="195" spans="1:75" ht="13.5" customHeight="1" x14ac:dyDescent="0.25">
      <c r="A195" s="2" t="s">
        <v>590</v>
      </c>
      <c r="B195" s="3" t="s">
        <v>591</v>
      </c>
      <c r="C195" s="80" t="s">
        <v>592</v>
      </c>
      <c r="D195" s="75"/>
      <c r="E195" s="3" t="s">
        <v>68</v>
      </c>
      <c r="F195" s="23">
        <v>1</v>
      </c>
      <c r="G195" s="23">
        <v>0</v>
      </c>
      <c r="H195" s="23">
        <f t="shared" si="200"/>
        <v>0</v>
      </c>
      <c r="I195" s="23">
        <f t="shared" si="201"/>
        <v>0</v>
      </c>
      <c r="J195" s="23">
        <f t="shared" si="202"/>
        <v>0</v>
      </c>
      <c r="K195" s="23">
        <v>0.01</v>
      </c>
      <c r="L195" s="24">
        <v>0.01</v>
      </c>
      <c r="Z195" s="23">
        <f t="shared" si="203"/>
        <v>0</v>
      </c>
      <c r="AB195" s="23">
        <f t="shared" si="204"/>
        <v>0</v>
      </c>
      <c r="AC195" s="23">
        <f t="shared" si="205"/>
        <v>0</v>
      </c>
      <c r="AD195" s="23">
        <f t="shared" si="206"/>
        <v>0</v>
      </c>
      <c r="AE195" s="23">
        <f t="shared" si="207"/>
        <v>0</v>
      </c>
      <c r="AF195" s="23">
        <f t="shared" si="208"/>
        <v>0</v>
      </c>
      <c r="AG195" s="23">
        <f t="shared" si="209"/>
        <v>0</v>
      </c>
      <c r="AH195" s="23">
        <f t="shared" si="210"/>
        <v>0</v>
      </c>
      <c r="AI195" s="8" t="s">
        <v>53</v>
      </c>
      <c r="AJ195" s="23">
        <f t="shared" si="211"/>
        <v>0</v>
      </c>
      <c r="AK195" s="23">
        <f t="shared" si="212"/>
        <v>0</v>
      </c>
      <c r="AL195" s="23">
        <f t="shared" si="213"/>
        <v>0</v>
      </c>
      <c r="AN195" s="23">
        <v>21</v>
      </c>
      <c r="AO195" s="23">
        <f t="shared" si="222"/>
        <v>0</v>
      </c>
      <c r="AP195" s="23">
        <f t="shared" si="223"/>
        <v>0</v>
      </c>
      <c r="AQ195" s="25" t="s">
        <v>56</v>
      </c>
      <c r="AV195" s="23">
        <f t="shared" si="214"/>
        <v>0</v>
      </c>
      <c r="AW195" s="23">
        <f t="shared" si="215"/>
        <v>0</v>
      </c>
      <c r="AX195" s="23">
        <f t="shared" si="216"/>
        <v>0</v>
      </c>
      <c r="AY195" s="25" t="s">
        <v>564</v>
      </c>
      <c r="AZ195" s="25" t="s">
        <v>565</v>
      </c>
      <c r="BA195" s="8" t="s">
        <v>62</v>
      </c>
      <c r="BC195" s="23">
        <f t="shared" si="217"/>
        <v>0</v>
      </c>
      <c r="BD195" s="23">
        <f t="shared" si="218"/>
        <v>0</v>
      </c>
      <c r="BE195" s="23">
        <v>0</v>
      </c>
      <c r="BF195" s="23">
        <f>195</f>
        <v>195</v>
      </c>
      <c r="BH195" s="23">
        <f t="shared" si="219"/>
        <v>0</v>
      </c>
      <c r="BI195" s="23">
        <f t="shared" si="220"/>
        <v>0</v>
      </c>
      <c r="BJ195" s="23">
        <f t="shared" si="221"/>
        <v>0</v>
      </c>
      <c r="BK195" s="23"/>
      <c r="BL195" s="23">
        <v>95</v>
      </c>
      <c r="BW195" s="23">
        <v>21</v>
      </c>
    </row>
    <row r="196" spans="1:75" ht="13.5" customHeight="1" x14ac:dyDescent="0.25">
      <c r="A196" s="2" t="s">
        <v>593</v>
      </c>
      <c r="B196" s="3" t="s">
        <v>594</v>
      </c>
      <c r="C196" s="80" t="s">
        <v>595</v>
      </c>
      <c r="D196" s="75"/>
      <c r="E196" s="3" t="s">
        <v>68</v>
      </c>
      <c r="F196" s="23">
        <v>1</v>
      </c>
      <c r="G196" s="23">
        <v>0</v>
      </c>
      <c r="H196" s="23">
        <f t="shared" si="200"/>
        <v>0</v>
      </c>
      <c r="I196" s="23">
        <f t="shared" si="201"/>
        <v>0</v>
      </c>
      <c r="J196" s="23">
        <f t="shared" si="202"/>
        <v>0</v>
      </c>
      <c r="K196" s="23">
        <v>8.0000000000000002E-3</v>
      </c>
      <c r="L196" s="24">
        <v>8.0000000000000002E-3</v>
      </c>
      <c r="Z196" s="23">
        <f t="shared" si="203"/>
        <v>0</v>
      </c>
      <c r="AB196" s="23">
        <f t="shared" si="204"/>
        <v>0</v>
      </c>
      <c r="AC196" s="23">
        <f t="shared" si="205"/>
        <v>0</v>
      </c>
      <c r="AD196" s="23">
        <f t="shared" si="206"/>
        <v>0</v>
      </c>
      <c r="AE196" s="23">
        <f t="shared" si="207"/>
        <v>0</v>
      </c>
      <c r="AF196" s="23">
        <f t="shared" si="208"/>
        <v>0</v>
      </c>
      <c r="AG196" s="23">
        <f t="shared" si="209"/>
        <v>0</v>
      </c>
      <c r="AH196" s="23">
        <f t="shared" si="210"/>
        <v>0</v>
      </c>
      <c r="AI196" s="8" t="s">
        <v>53</v>
      </c>
      <c r="AJ196" s="23">
        <f t="shared" si="211"/>
        <v>0</v>
      </c>
      <c r="AK196" s="23">
        <f t="shared" si="212"/>
        <v>0</v>
      </c>
      <c r="AL196" s="23">
        <f t="shared" si="213"/>
        <v>0</v>
      </c>
      <c r="AN196" s="23">
        <v>21</v>
      </c>
      <c r="AO196" s="23">
        <f t="shared" si="222"/>
        <v>0</v>
      </c>
      <c r="AP196" s="23">
        <f t="shared" si="223"/>
        <v>0</v>
      </c>
      <c r="AQ196" s="25" t="s">
        <v>56</v>
      </c>
      <c r="AV196" s="23">
        <f t="shared" si="214"/>
        <v>0</v>
      </c>
      <c r="AW196" s="23">
        <f t="shared" si="215"/>
        <v>0</v>
      </c>
      <c r="AX196" s="23">
        <f t="shared" si="216"/>
        <v>0</v>
      </c>
      <c r="AY196" s="25" t="s">
        <v>564</v>
      </c>
      <c r="AZ196" s="25" t="s">
        <v>565</v>
      </c>
      <c r="BA196" s="8" t="s">
        <v>62</v>
      </c>
      <c r="BC196" s="23">
        <f t="shared" si="217"/>
        <v>0</v>
      </c>
      <c r="BD196" s="23">
        <f t="shared" si="218"/>
        <v>0</v>
      </c>
      <c r="BE196" s="23">
        <v>0</v>
      </c>
      <c r="BF196" s="23">
        <f>196</f>
        <v>196</v>
      </c>
      <c r="BH196" s="23">
        <f t="shared" si="219"/>
        <v>0</v>
      </c>
      <c r="BI196" s="23">
        <f t="shared" si="220"/>
        <v>0</v>
      </c>
      <c r="BJ196" s="23">
        <f t="shared" si="221"/>
        <v>0</v>
      </c>
      <c r="BK196" s="23"/>
      <c r="BL196" s="23">
        <v>95</v>
      </c>
      <c r="BW196" s="23">
        <v>21</v>
      </c>
    </row>
    <row r="197" spans="1:75" ht="13.5" customHeight="1" x14ac:dyDescent="0.25">
      <c r="A197" s="2" t="s">
        <v>596</v>
      </c>
      <c r="B197" s="3" t="s">
        <v>597</v>
      </c>
      <c r="C197" s="80" t="s">
        <v>598</v>
      </c>
      <c r="D197" s="75"/>
      <c r="E197" s="3" t="s">
        <v>68</v>
      </c>
      <c r="F197" s="23">
        <v>3</v>
      </c>
      <c r="G197" s="23">
        <v>0</v>
      </c>
      <c r="H197" s="23">
        <f t="shared" si="200"/>
        <v>0</v>
      </c>
      <c r="I197" s="23">
        <f t="shared" si="201"/>
        <v>0</v>
      </c>
      <c r="J197" s="23">
        <f t="shared" si="202"/>
        <v>0</v>
      </c>
      <c r="K197" s="23">
        <v>0.01</v>
      </c>
      <c r="L197" s="24">
        <v>0.01</v>
      </c>
      <c r="Z197" s="23">
        <f t="shared" si="203"/>
        <v>0</v>
      </c>
      <c r="AB197" s="23">
        <f t="shared" si="204"/>
        <v>0</v>
      </c>
      <c r="AC197" s="23">
        <f t="shared" si="205"/>
        <v>0</v>
      </c>
      <c r="AD197" s="23">
        <f t="shared" si="206"/>
        <v>0</v>
      </c>
      <c r="AE197" s="23">
        <f t="shared" si="207"/>
        <v>0</v>
      </c>
      <c r="AF197" s="23">
        <f t="shared" si="208"/>
        <v>0</v>
      </c>
      <c r="AG197" s="23">
        <f t="shared" si="209"/>
        <v>0</v>
      </c>
      <c r="AH197" s="23">
        <f t="shared" si="210"/>
        <v>0</v>
      </c>
      <c r="AI197" s="8" t="s">
        <v>53</v>
      </c>
      <c r="AJ197" s="23">
        <f t="shared" si="211"/>
        <v>0</v>
      </c>
      <c r="AK197" s="23">
        <f t="shared" si="212"/>
        <v>0</v>
      </c>
      <c r="AL197" s="23">
        <f t="shared" si="213"/>
        <v>0</v>
      </c>
      <c r="AN197" s="23">
        <v>21</v>
      </c>
      <c r="AO197" s="23">
        <f t="shared" si="222"/>
        <v>0</v>
      </c>
      <c r="AP197" s="23">
        <f t="shared" si="223"/>
        <v>0</v>
      </c>
      <c r="AQ197" s="25" t="s">
        <v>56</v>
      </c>
      <c r="AV197" s="23">
        <f t="shared" si="214"/>
        <v>0</v>
      </c>
      <c r="AW197" s="23">
        <f t="shared" si="215"/>
        <v>0</v>
      </c>
      <c r="AX197" s="23">
        <f t="shared" si="216"/>
        <v>0</v>
      </c>
      <c r="AY197" s="25" t="s">
        <v>564</v>
      </c>
      <c r="AZ197" s="25" t="s">
        <v>565</v>
      </c>
      <c r="BA197" s="8" t="s">
        <v>62</v>
      </c>
      <c r="BC197" s="23">
        <f t="shared" si="217"/>
        <v>0</v>
      </c>
      <c r="BD197" s="23">
        <f t="shared" si="218"/>
        <v>0</v>
      </c>
      <c r="BE197" s="23">
        <v>0</v>
      </c>
      <c r="BF197" s="23">
        <f>197</f>
        <v>197</v>
      </c>
      <c r="BH197" s="23">
        <f t="shared" si="219"/>
        <v>0</v>
      </c>
      <c r="BI197" s="23">
        <f t="shared" si="220"/>
        <v>0</v>
      </c>
      <c r="BJ197" s="23">
        <f t="shared" si="221"/>
        <v>0</v>
      </c>
      <c r="BK197" s="23"/>
      <c r="BL197" s="23">
        <v>95</v>
      </c>
      <c r="BW197" s="23">
        <v>21</v>
      </c>
    </row>
    <row r="198" spans="1:75" ht="13.5" customHeight="1" x14ac:dyDescent="0.25">
      <c r="A198" s="2" t="s">
        <v>599</v>
      </c>
      <c r="B198" s="3" t="s">
        <v>600</v>
      </c>
      <c r="C198" s="80" t="s">
        <v>601</v>
      </c>
      <c r="D198" s="75"/>
      <c r="E198" s="3" t="s">
        <v>102</v>
      </c>
      <c r="F198" s="23">
        <v>13</v>
      </c>
      <c r="G198" s="23">
        <v>0</v>
      </c>
      <c r="H198" s="23">
        <f t="shared" si="200"/>
        <v>0</v>
      </c>
      <c r="I198" s="23">
        <f t="shared" si="201"/>
        <v>0</v>
      </c>
      <c r="J198" s="23">
        <f t="shared" si="202"/>
        <v>0</v>
      </c>
      <c r="K198" s="23">
        <v>0.01</v>
      </c>
      <c r="L198" s="24">
        <v>0.01</v>
      </c>
      <c r="Z198" s="23">
        <f t="shared" si="203"/>
        <v>0</v>
      </c>
      <c r="AB198" s="23">
        <f t="shared" si="204"/>
        <v>0</v>
      </c>
      <c r="AC198" s="23">
        <f t="shared" si="205"/>
        <v>0</v>
      </c>
      <c r="AD198" s="23">
        <f t="shared" si="206"/>
        <v>0</v>
      </c>
      <c r="AE198" s="23">
        <f t="shared" si="207"/>
        <v>0</v>
      </c>
      <c r="AF198" s="23">
        <f t="shared" si="208"/>
        <v>0</v>
      </c>
      <c r="AG198" s="23">
        <f t="shared" si="209"/>
        <v>0</v>
      </c>
      <c r="AH198" s="23">
        <f t="shared" si="210"/>
        <v>0</v>
      </c>
      <c r="AI198" s="8" t="s">
        <v>53</v>
      </c>
      <c r="AJ198" s="23">
        <f t="shared" si="211"/>
        <v>0</v>
      </c>
      <c r="AK198" s="23">
        <f t="shared" si="212"/>
        <v>0</v>
      </c>
      <c r="AL198" s="23">
        <f t="shared" si="213"/>
        <v>0</v>
      </c>
      <c r="AN198" s="23">
        <v>21</v>
      </c>
      <c r="AO198" s="23">
        <f t="shared" si="222"/>
        <v>0</v>
      </c>
      <c r="AP198" s="23">
        <f t="shared" si="223"/>
        <v>0</v>
      </c>
      <c r="AQ198" s="25" t="s">
        <v>56</v>
      </c>
      <c r="AV198" s="23">
        <f t="shared" si="214"/>
        <v>0</v>
      </c>
      <c r="AW198" s="23">
        <f t="shared" si="215"/>
        <v>0</v>
      </c>
      <c r="AX198" s="23">
        <f t="shared" si="216"/>
        <v>0</v>
      </c>
      <c r="AY198" s="25" t="s">
        <v>564</v>
      </c>
      <c r="AZ198" s="25" t="s">
        <v>565</v>
      </c>
      <c r="BA198" s="8" t="s">
        <v>62</v>
      </c>
      <c r="BC198" s="23">
        <f t="shared" si="217"/>
        <v>0</v>
      </c>
      <c r="BD198" s="23">
        <f t="shared" si="218"/>
        <v>0</v>
      </c>
      <c r="BE198" s="23">
        <v>0</v>
      </c>
      <c r="BF198" s="23">
        <f>198</f>
        <v>198</v>
      </c>
      <c r="BH198" s="23">
        <f t="shared" si="219"/>
        <v>0</v>
      </c>
      <c r="BI198" s="23">
        <f t="shared" si="220"/>
        <v>0</v>
      </c>
      <c r="BJ198" s="23">
        <f t="shared" si="221"/>
        <v>0</v>
      </c>
      <c r="BK198" s="23"/>
      <c r="BL198" s="23">
        <v>95</v>
      </c>
      <c r="BW198" s="23">
        <v>21</v>
      </c>
    </row>
    <row r="199" spans="1:75" ht="13.5" customHeight="1" x14ac:dyDescent="0.25">
      <c r="A199" s="2" t="s">
        <v>602</v>
      </c>
      <c r="B199" s="3" t="s">
        <v>603</v>
      </c>
      <c r="C199" s="80" t="s">
        <v>604</v>
      </c>
      <c r="D199" s="75"/>
      <c r="E199" s="3" t="s">
        <v>68</v>
      </c>
      <c r="F199" s="23">
        <v>1</v>
      </c>
      <c r="G199" s="23">
        <v>0</v>
      </c>
      <c r="H199" s="23">
        <f t="shared" si="200"/>
        <v>0</v>
      </c>
      <c r="I199" s="23">
        <f t="shared" si="201"/>
        <v>0</v>
      </c>
      <c r="J199" s="23">
        <f t="shared" si="202"/>
        <v>0</v>
      </c>
      <c r="K199" s="23">
        <v>1.4E-2</v>
      </c>
      <c r="L199" s="24">
        <v>1.4E-2</v>
      </c>
      <c r="Z199" s="23">
        <f t="shared" si="203"/>
        <v>0</v>
      </c>
      <c r="AB199" s="23">
        <f t="shared" si="204"/>
        <v>0</v>
      </c>
      <c r="AC199" s="23">
        <f t="shared" si="205"/>
        <v>0</v>
      </c>
      <c r="AD199" s="23">
        <f t="shared" si="206"/>
        <v>0</v>
      </c>
      <c r="AE199" s="23">
        <f t="shared" si="207"/>
        <v>0</v>
      </c>
      <c r="AF199" s="23">
        <f t="shared" si="208"/>
        <v>0</v>
      </c>
      <c r="AG199" s="23">
        <f t="shared" si="209"/>
        <v>0</v>
      </c>
      <c r="AH199" s="23">
        <f t="shared" si="210"/>
        <v>0</v>
      </c>
      <c r="AI199" s="8" t="s">
        <v>53</v>
      </c>
      <c r="AJ199" s="23">
        <f t="shared" si="211"/>
        <v>0</v>
      </c>
      <c r="AK199" s="23">
        <f t="shared" si="212"/>
        <v>0</v>
      </c>
      <c r="AL199" s="23">
        <f t="shared" si="213"/>
        <v>0</v>
      </c>
      <c r="AN199" s="23">
        <v>21</v>
      </c>
      <c r="AO199" s="23">
        <f t="shared" si="222"/>
        <v>0</v>
      </c>
      <c r="AP199" s="23">
        <f t="shared" si="223"/>
        <v>0</v>
      </c>
      <c r="AQ199" s="25" t="s">
        <v>56</v>
      </c>
      <c r="AV199" s="23">
        <f t="shared" si="214"/>
        <v>0</v>
      </c>
      <c r="AW199" s="23">
        <f t="shared" si="215"/>
        <v>0</v>
      </c>
      <c r="AX199" s="23">
        <f t="shared" si="216"/>
        <v>0</v>
      </c>
      <c r="AY199" s="25" t="s">
        <v>564</v>
      </c>
      <c r="AZ199" s="25" t="s">
        <v>565</v>
      </c>
      <c r="BA199" s="8" t="s">
        <v>62</v>
      </c>
      <c r="BC199" s="23">
        <f t="shared" si="217"/>
        <v>0</v>
      </c>
      <c r="BD199" s="23">
        <f t="shared" si="218"/>
        <v>0</v>
      </c>
      <c r="BE199" s="23">
        <v>0</v>
      </c>
      <c r="BF199" s="23">
        <f>199</f>
        <v>199</v>
      </c>
      <c r="BH199" s="23">
        <f t="shared" si="219"/>
        <v>0</v>
      </c>
      <c r="BI199" s="23">
        <f t="shared" si="220"/>
        <v>0</v>
      </c>
      <c r="BJ199" s="23">
        <f t="shared" si="221"/>
        <v>0</v>
      </c>
      <c r="BK199" s="23"/>
      <c r="BL199" s="23">
        <v>95</v>
      </c>
      <c r="BW199" s="23">
        <v>21</v>
      </c>
    </row>
    <row r="200" spans="1:75" ht="13.5" customHeight="1" x14ac:dyDescent="0.25">
      <c r="A200" s="2" t="s">
        <v>605</v>
      </c>
      <c r="B200" s="3" t="s">
        <v>606</v>
      </c>
      <c r="C200" s="80" t="s">
        <v>607</v>
      </c>
      <c r="D200" s="75"/>
      <c r="E200" s="3" t="s">
        <v>68</v>
      </c>
      <c r="F200" s="23">
        <v>1</v>
      </c>
      <c r="G200" s="23">
        <v>0</v>
      </c>
      <c r="H200" s="23">
        <f t="shared" si="200"/>
        <v>0</v>
      </c>
      <c r="I200" s="23">
        <f t="shared" si="201"/>
        <v>0</v>
      </c>
      <c r="J200" s="23">
        <f t="shared" si="202"/>
        <v>0</v>
      </c>
      <c r="K200" s="23">
        <v>0.03</v>
      </c>
      <c r="L200" s="24">
        <v>0.03</v>
      </c>
      <c r="Z200" s="23">
        <f t="shared" si="203"/>
        <v>0</v>
      </c>
      <c r="AB200" s="23">
        <f t="shared" si="204"/>
        <v>0</v>
      </c>
      <c r="AC200" s="23">
        <f t="shared" si="205"/>
        <v>0</v>
      </c>
      <c r="AD200" s="23">
        <f t="shared" si="206"/>
        <v>0</v>
      </c>
      <c r="AE200" s="23">
        <f t="shared" si="207"/>
        <v>0</v>
      </c>
      <c r="AF200" s="23">
        <f t="shared" si="208"/>
        <v>0</v>
      </c>
      <c r="AG200" s="23">
        <f t="shared" si="209"/>
        <v>0</v>
      </c>
      <c r="AH200" s="23">
        <f t="shared" si="210"/>
        <v>0</v>
      </c>
      <c r="AI200" s="8" t="s">
        <v>53</v>
      </c>
      <c r="AJ200" s="23">
        <f t="shared" si="211"/>
        <v>0</v>
      </c>
      <c r="AK200" s="23">
        <f t="shared" si="212"/>
        <v>0</v>
      </c>
      <c r="AL200" s="23">
        <f t="shared" si="213"/>
        <v>0</v>
      </c>
      <c r="AN200" s="23">
        <v>21</v>
      </c>
      <c r="AO200" s="23">
        <f t="shared" si="222"/>
        <v>0</v>
      </c>
      <c r="AP200" s="23">
        <f t="shared" si="223"/>
        <v>0</v>
      </c>
      <c r="AQ200" s="25" t="s">
        <v>56</v>
      </c>
      <c r="AV200" s="23">
        <f t="shared" si="214"/>
        <v>0</v>
      </c>
      <c r="AW200" s="23">
        <f t="shared" si="215"/>
        <v>0</v>
      </c>
      <c r="AX200" s="23">
        <f t="shared" si="216"/>
        <v>0</v>
      </c>
      <c r="AY200" s="25" t="s">
        <v>564</v>
      </c>
      <c r="AZ200" s="25" t="s">
        <v>565</v>
      </c>
      <c r="BA200" s="8" t="s">
        <v>62</v>
      </c>
      <c r="BC200" s="23">
        <f t="shared" si="217"/>
        <v>0</v>
      </c>
      <c r="BD200" s="23">
        <f t="shared" si="218"/>
        <v>0</v>
      </c>
      <c r="BE200" s="23">
        <v>0</v>
      </c>
      <c r="BF200" s="23">
        <f>200</f>
        <v>200</v>
      </c>
      <c r="BH200" s="23">
        <f t="shared" si="219"/>
        <v>0</v>
      </c>
      <c r="BI200" s="23">
        <f t="shared" si="220"/>
        <v>0</v>
      </c>
      <c r="BJ200" s="23">
        <f t="shared" si="221"/>
        <v>0</v>
      </c>
      <c r="BK200" s="23"/>
      <c r="BL200" s="23">
        <v>95</v>
      </c>
      <c r="BW200" s="23">
        <v>21</v>
      </c>
    </row>
    <row r="201" spans="1:75" ht="13.5" customHeight="1" x14ac:dyDescent="0.25">
      <c r="A201" s="2" t="s">
        <v>608</v>
      </c>
      <c r="B201" s="3" t="s">
        <v>609</v>
      </c>
      <c r="C201" s="80" t="s">
        <v>610</v>
      </c>
      <c r="D201" s="75"/>
      <c r="E201" s="3" t="s">
        <v>68</v>
      </c>
      <c r="F201" s="23">
        <v>90</v>
      </c>
      <c r="G201" s="23">
        <v>0</v>
      </c>
      <c r="H201" s="23">
        <f t="shared" si="200"/>
        <v>0</v>
      </c>
      <c r="I201" s="23">
        <f t="shared" si="201"/>
        <v>0</v>
      </c>
      <c r="J201" s="23">
        <f t="shared" si="202"/>
        <v>0</v>
      </c>
      <c r="K201" s="23">
        <v>1E-4</v>
      </c>
      <c r="L201" s="24">
        <v>1E-4</v>
      </c>
      <c r="Z201" s="23">
        <f t="shared" si="203"/>
        <v>0</v>
      </c>
      <c r="AB201" s="23">
        <f t="shared" si="204"/>
        <v>0</v>
      </c>
      <c r="AC201" s="23">
        <f t="shared" si="205"/>
        <v>0</v>
      </c>
      <c r="AD201" s="23">
        <f t="shared" si="206"/>
        <v>0</v>
      </c>
      <c r="AE201" s="23">
        <f t="shared" si="207"/>
        <v>0</v>
      </c>
      <c r="AF201" s="23">
        <f t="shared" si="208"/>
        <v>0</v>
      </c>
      <c r="AG201" s="23">
        <f t="shared" si="209"/>
        <v>0</v>
      </c>
      <c r="AH201" s="23">
        <f t="shared" si="210"/>
        <v>0</v>
      </c>
      <c r="AI201" s="8" t="s">
        <v>53</v>
      </c>
      <c r="AJ201" s="23">
        <f t="shared" si="211"/>
        <v>0</v>
      </c>
      <c r="AK201" s="23">
        <f t="shared" si="212"/>
        <v>0</v>
      </c>
      <c r="AL201" s="23">
        <f t="shared" si="213"/>
        <v>0</v>
      </c>
      <c r="AN201" s="23">
        <v>21</v>
      </c>
      <c r="AO201" s="23">
        <f t="shared" si="222"/>
        <v>0</v>
      </c>
      <c r="AP201" s="23">
        <f t="shared" si="223"/>
        <v>0</v>
      </c>
      <c r="AQ201" s="25" t="s">
        <v>56</v>
      </c>
      <c r="AV201" s="23">
        <f t="shared" si="214"/>
        <v>0</v>
      </c>
      <c r="AW201" s="23">
        <f t="shared" si="215"/>
        <v>0</v>
      </c>
      <c r="AX201" s="23">
        <f t="shared" si="216"/>
        <v>0</v>
      </c>
      <c r="AY201" s="25" t="s">
        <v>564</v>
      </c>
      <c r="AZ201" s="25" t="s">
        <v>565</v>
      </c>
      <c r="BA201" s="8" t="s">
        <v>62</v>
      </c>
      <c r="BC201" s="23">
        <f t="shared" si="217"/>
        <v>0</v>
      </c>
      <c r="BD201" s="23">
        <f t="shared" si="218"/>
        <v>0</v>
      </c>
      <c r="BE201" s="23">
        <v>0</v>
      </c>
      <c r="BF201" s="23">
        <f>201</f>
        <v>201</v>
      </c>
      <c r="BH201" s="23">
        <f t="shared" si="219"/>
        <v>0</v>
      </c>
      <c r="BI201" s="23">
        <f t="shared" si="220"/>
        <v>0</v>
      </c>
      <c r="BJ201" s="23">
        <f t="shared" si="221"/>
        <v>0</v>
      </c>
      <c r="BK201" s="23"/>
      <c r="BL201" s="23">
        <v>95</v>
      </c>
      <c r="BW201" s="23">
        <v>21</v>
      </c>
    </row>
    <row r="202" spans="1:75" x14ac:dyDescent="0.25">
      <c r="A202" s="26" t="s">
        <v>53</v>
      </c>
      <c r="B202" s="27" t="s">
        <v>384</v>
      </c>
      <c r="C202" s="98" t="s">
        <v>611</v>
      </c>
      <c r="D202" s="99"/>
      <c r="E202" s="28" t="s">
        <v>10</v>
      </c>
      <c r="F202" s="28" t="s">
        <v>10</v>
      </c>
      <c r="G202" s="28" t="s">
        <v>10</v>
      </c>
      <c r="H202" s="1">
        <f>SUM(H203:H205)</f>
        <v>0</v>
      </c>
      <c r="I202" s="1">
        <f>SUM(I203:I205)</f>
        <v>0</v>
      </c>
      <c r="J202" s="1">
        <f>SUM(J203:J205)</f>
        <v>0</v>
      </c>
      <c r="K202" s="8" t="s">
        <v>53</v>
      </c>
      <c r="L202" s="29" t="s">
        <v>53</v>
      </c>
      <c r="AI202" s="8" t="s">
        <v>53</v>
      </c>
      <c r="AS202" s="1">
        <f>SUM(AJ203:AJ205)</f>
        <v>0</v>
      </c>
      <c r="AT202" s="1">
        <f>SUM(AK203:AK205)</f>
        <v>0</v>
      </c>
      <c r="AU202" s="1">
        <f>SUM(AL203:AL205)</f>
        <v>0</v>
      </c>
    </row>
    <row r="203" spans="1:75" ht="13.5" customHeight="1" x14ac:dyDescent="0.25">
      <c r="A203" s="2" t="s">
        <v>612</v>
      </c>
      <c r="B203" s="3" t="s">
        <v>613</v>
      </c>
      <c r="C203" s="80" t="s">
        <v>614</v>
      </c>
      <c r="D203" s="75"/>
      <c r="E203" s="3" t="s">
        <v>68</v>
      </c>
      <c r="F203" s="23">
        <v>1</v>
      </c>
      <c r="G203" s="23">
        <v>0</v>
      </c>
      <c r="H203" s="23">
        <f>F203*AO203</f>
        <v>0</v>
      </c>
      <c r="I203" s="23">
        <f>F203*AP203</f>
        <v>0</v>
      </c>
      <c r="J203" s="23">
        <f>F203*G203</f>
        <v>0</v>
      </c>
      <c r="K203" s="23">
        <v>3.4000000000000002E-4</v>
      </c>
      <c r="L203" s="24">
        <v>0.13833999999999999</v>
      </c>
      <c r="Z203" s="23">
        <f>IF(AQ203="5",BJ203,0)</f>
        <v>0</v>
      </c>
      <c r="AB203" s="23">
        <f>IF(AQ203="1",BH203,0)</f>
        <v>0</v>
      </c>
      <c r="AC203" s="23">
        <f>IF(AQ203="1",BI203,0)</f>
        <v>0</v>
      </c>
      <c r="AD203" s="23">
        <f>IF(AQ203="7",BH203,0)</f>
        <v>0</v>
      </c>
      <c r="AE203" s="23">
        <f>IF(AQ203="7",BI203,0)</f>
        <v>0</v>
      </c>
      <c r="AF203" s="23">
        <f>IF(AQ203="2",BH203,0)</f>
        <v>0</v>
      </c>
      <c r="AG203" s="23">
        <f>IF(AQ203="2",BI203,0)</f>
        <v>0</v>
      </c>
      <c r="AH203" s="23">
        <f>IF(AQ203="0",BJ203,0)</f>
        <v>0</v>
      </c>
      <c r="AI203" s="8" t="s">
        <v>53</v>
      </c>
      <c r="AJ203" s="23">
        <f>IF(AN203=0,J203,0)</f>
        <v>0</v>
      </c>
      <c r="AK203" s="23">
        <f>IF(AN203=12,J203,0)</f>
        <v>0</v>
      </c>
      <c r="AL203" s="23">
        <f>IF(AN203=21,J203,0)</f>
        <v>0</v>
      </c>
      <c r="AN203" s="23">
        <v>21</v>
      </c>
      <c r="AO203" s="23">
        <f>G203*0.02851312</f>
        <v>0</v>
      </c>
      <c r="AP203" s="23">
        <f>G203*(1-0.02851312)</f>
        <v>0</v>
      </c>
      <c r="AQ203" s="25" t="s">
        <v>56</v>
      </c>
      <c r="AV203" s="23">
        <f>AW203+AX203</f>
        <v>0</v>
      </c>
      <c r="AW203" s="23">
        <f>F203*AO203</f>
        <v>0</v>
      </c>
      <c r="AX203" s="23">
        <f>F203*AP203</f>
        <v>0</v>
      </c>
      <c r="AY203" s="25" t="s">
        <v>615</v>
      </c>
      <c r="AZ203" s="25" t="s">
        <v>565</v>
      </c>
      <c r="BA203" s="8" t="s">
        <v>62</v>
      </c>
      <c r="BC203" s="23">
        <f>AW203+AX203</f>
        <v>0</v>
      </c>
      <c r="BD203" s="23">
        <f>G203/(100-BE203)*100</f>
        <v>0</v>
      </c>
      <c r="BE203" s="23">
        <v>0</v>
      </c>
      <c r="BF203" s="23">
        <f>203</f>
        <v>203</v>
      </c>
      <c r="BH203" s="23">
        <f>F203*AO203</f>
        <v>0</v>
      </c>
      <c r="BI203" s="23">
        <f>F203*AP203</f>
        <v>0</v>
      </c>
      <c r="BJ203" s="23">
        <f>F203*G203</f>
        <v>0</v>
      </c>
      <c r="BK203" s="23"/>
      <c r="BL203" s="23">
        <v>97</v>
      </c>
      <c r="BW203" s="23">
        <v>21</v>
      </c>
    </row>
    <row r="204" spans="1:75" ht="13.5" customHeight="1" x14ac:dyDescent="0.25">
      <c r="A204" s="2" t="s">
        <v>616</v>
      </c>
      <c r="B204" s="3" t="s">
        <v>617</v>
      </c>
      <c r="C204" s="80" t="s">
        <v>618</v>
      </c>
      <c r="D204" s="75"/>
      <c r="E204" s="3" t="s">
        <v>68</v>
      </c>
      <c r="F204" s="23">
        <v>1</v>
      </c>
      <c r="G204" s="23">
        <v>0</v>
      </c>
      <c r="H204" s="23">
        <f>F204*AO204</f>
        <v>0</v>
      </c>
      <c r="I204" s="23">
        <f>F204*AP204</f>
        <v>0</v>
      </c>
      <c r="J204" s="23">
        <f>F204*G204</f>
        <v>0</v>
      </c>
      <c r="K204" s="23">
        <v>3.4000000000000002E-4</v>
      </c>
      <c r="L204" s="24">
        <v>5.4339999999999999E-2</v>
      </c>
      <c r="Z204" s="23">
        <f>IF(AQ204="5",BJ204,0)</f>
        <v>0</v>
      </c>
      <c r="AB204" s="23">
        <f>IF(AQ204="1",BH204,0)</f>
        <v>0</v>
      </c>
      <c r="AC204" s="23">
        <f>IF(AQ204="1",BI204,0)</f>
        <v>0</v>
      </c>
      <c r="AD204" s="23">
        <f>IF(AQ204="7",BH204,0)</f>
        <v>0</v>
      </c>
      <c r="AE204" s="23">
        <f>IF(AQ204="7",BI204,0)</f>
        <v>0</v>
      </c>
      <c r="AF204" s="23">
        <f>IF(AQ204="2",BH204,0)</f>
        <v>0</v>
      </c>
      <c r="AG204" s="23">
        <f>IF(AQ204="2",BI204,0)</f>
        <v>0</v>
      </c>
      <c r="AH204" s="23">
        <f>IF(AQ204="0",BJ204,0)</f>
        <v>0</v>
      </c>
      <c r="AI204" s="8" t="s">
        <v>53</v>
      </c>
      <c r="AJ204" s="23">
        <f>IF(AN204=0,J204,0)</f>
        <v>0</v>
      </c>
      <c r="AK204" s="23">
        <f>IF(AN204=12,J204,0)</f>
        <v>0</v>
      </c>
      <c r="AL204" s="23">
        <f>IF(AN204=21,J204,0)</f>
        <v>0</v>
      </c>
      <c r="AN204" s="23">
        <v>21</v>
      </c>
      <c r="AO204" s="23">
        <f>G204*0.058214286</f>
        <v>0</v>
      </c>
      <c r="AP204" s="23">
        <f>G204*(1-0.058214286)</f>
        <v>0</v>
      </c>
      <c r="AQ204" s="25" t="s">
        <v>56</v>
      </c>
      <c r="AV204" s="23">
        <f>AW204+AX204</f>
        <v>0</v>
      </c>
      <c r="AW204" s="23">
        <f>F204*AO204</f>
        <v>0</v>
      </c>
      <c r="AX204" s="23">
        <f>F204*AP204</f>
        <v>0</v>
      </c>
      <c r="AY204" s="25" t="s">
        <v>615</v>
      </c>
      <c r="AZ204" s="25" t="s">
        <v>565</v>
      </c>
      <c r="BA204" s="8" t="s">
        <v>62</v>
      </c>
      <c r="BC204" s="23">
        <f>AW204+AX204</f>
        <v>0</v>
      </c>
      <c r="BD204" s="23">
        <f>G204/(100-BE204)*100</f>
        <v>0</v>
      </c>
      <c r="BE204" s="23">
        <v>0</v>
      </c>
      <c r="BF204" s="23">
        <f>204</f>
        <v>204</v>
      </c>
      <c r="BH204" s="23">
        <f>F204*AO204</f>
        <v>0</v>
      </c>
      <c r="BI204" s="23">
        <f>F204*AP204</f>
        <v>0</v>
      </c>
      <c r="BJ204" s="23">
        <f>F204*G204</f>
        <v>0</v>
      </c>
      <c r="BK204" s="23"/>
      <c r="BL204" s="23">
        <v>97</v>
      </c>
      <c r="BW204" s="23">
        <v>21</v>
      </c>
    </row>
    <row r="205" spans="1:75" ht="13.5" customHeight="1" x14ac:dyDescent="0.25">
      <c r="A205" s="2" t="s">
        <v>619</v>
      </c>
      <c r="B205" s="3" t="s">
        <v>620</v>
      </c>
      <c r="C205" s="80" t="s">
        <v>621</v>
      </c>
      <c r="D205" s="75"/>
      <c r="E205" s="3" t="s">
        <v>68</v>
      </c>
      <c r="F205" s="23">
        <v>10</v>
      </c>
      <c r="G205" s="23">
        <v>0</v>
      </c>
      <c r="H205" s="23">
        <f>F205*AO205</f>
        <v>0</v>
      </c>
      <c r="I205" s="23">
        <f>F205*AP205</f>
        <v>0</v>
      </c>
      <c r="J205" s="23">
        <f>F205*G205</f>
        <v>0</v>
      </c>
      <c r="K205" s="23">
        <v>0</v>
      </c>
      <c r="L205" s="24">
        <v>5.9999999999999995E-4</v>
      </c>
      <c r="Z205" s="23">
        <f>IF(AQ205="5",BJ205,0)</f>
        <v>0</v>
      </c>
      <c r="AB205" s="23">
        <f>IF(AQ205="1",BH205,0)</f>
        <v>0</v>
      </c>
      <c r="AC205" s="23">
        <f>IF(AQ205="1",BI205,0)</f>
        <v>0</v>
      </c>
      <c r="AD205" s="23">
        <f>IF(AQ205="7",BH205,0)</f>
        <v>0</v>
      </c>
      <c r="AE205" s="23">
        <f>IF(AQ205="7",BI205,0)</f>
        <v>0</v>
      </c>
      <c r="AF205" s="23">
        <f>IF(AQ205="2",BH205,0)</f>
        <v>0</v>
      </c>
      <c r="AG205" s="23">
        <f>IF(AQ205="2",BI205,0)</f>
        <v>0</v>
      </c>
      <c r="AH205" s="23">
        <f>IF(AQ205="0",BJ205,0)</f>
        <v>0</v>
      </c>
      <c r="AI205" s="8" t="s">
        <v>53</v>
      </c>
      <c r="AJ205" s="23">
        <f>IF(AN205=0,J205,0)</f>
        <v>0</v>
      </c>
      <c r="AK205" s="23">
        <f>IF(AN205=12,J205,0)</f>
        <v>0</v>
      </c>
      <c r="AL205" s="23">
        <f>IF(AN205=21,J205,0)</f>
        <v>0</v>
      </c>
      <c r="AN205" s="23">
        <v>21</v>
      </c>
      <c r="AO205" s="23">
        <f>G205*0</f>
        <v>0</v>
      </c>
      <c r="AP205" s="23">
        <f>G205*(1-0)</f>
        <v>0</v>
      </c>
      <c r="AQ205" s="25" t="s">
        <v>56</v>
      </c>
      <c r="AV205" s="23">
        <f>AW205+AX205</f>
        <v>0</v>
      </c>
      <c r="AW205" s="23">
        <f>F205*AO205</f>
        <v>0</v>
      </c>
      <c r="AX205" s="23">
        <f>F205*AP205</f>
        <v>0</v>
      </c>
      <c r="AY205" s="25" t="s">
        <v>615</v>
      </c>
      <c r="AZ205" s="25" t="s">
        <v>565</v>
      </c>
      <c r="BA205" s="8" t="s">
        <v>62</v>
      </c>
      <c r="BC205" s="23">
        <f>AW205+AX205</f>
        <v>0</v>
      </c>
      <c r="BD205" s="23">
        <f>G205/(100-BE205)*100</f>
        <v>0</v>
      </c>
      <c r="BE205" s="23">
        <v>0</v>
      </c>
      <c r="BF205" s="23">
        <f>205</f>
        <v>205</v>
      </c>
      <c r="BH205" s="23">
        <f>F205*AO205</f>
        <v>0</v>
      </c>
      <c r="BI205" s="23">
        <f>F205*AP205</f>
        <v>0</v>
      </c>
      <c r="BJ205" s="23">
        <f>F205*G205</f>
        <v>0</v>
      </c>
      <c r="BK205" s="23"/>
      <c r="BL205" s="23">
        <v>97</v>
      </c>
      <c r="BW205" s="23">
        <v>21</v>
      </c>
    </row>
    <row r="206" spans="1:75" x14ac:dyDescent="0.25">
      <c r="A206" s="26" t="s">
        <v>53</v>
      </c>
      <c r="B206" s="27" t="s">
        <v>622</v>
      </c>
      <c r="C206" s="98" t="s">
        <v>623</v>
      </c>
      <c r="D206" s="99"/>
      <c r="E206" s="28" t="s">
        <v>10</v>
      </c>
      <c r="F206" s="28" t="s">
        <v>10</v>
      </c>
      <c r="G206" s="28" t="s">
        <v>10</v>
      </c>
      <c r="H206" s="1">
        <f>SUM(H207:H208)</f>
        <v>0</v>
      </c>
      <c r="I206" s="1">
        <f>SUM(I207:I208)</f>
        <v>0</v>
      </c>
      <c r="J206" s="1">
        <f>SUM(J207:J208)</f>
        <v>0</v>
      </c>
      <c r="K206" s="8" t="s">
        <v>53</v>
      </c>
      <c r="L206" s="29" t="s">
        <v>53</v>
      </c>
      <c r="AI206" s="8" t="s">
        <v>53</v>
      </c>
      <c r="AS206" s="1">
        <f>SUM(AJ207:AJ208)</f>
        <v>0</v>
      </c>
      <c r="AT206" s="1">
        <f>SUM(AK207:AK208)</f>
        <v>0</v>
      </c>
      <c r="AU206" s="1">
        <f>SUM(AL207:AL208)</f>
        <v>0</v>
      </c>
    </row>
    <row r="207" spans="1:75" ht="13.5" customHeight="1" x14ac:dyDescent="0.25">
      <c r="A207" s="2" t="s">
        <v>624</v>
      </c>
      <c r="B207" s="3" t="s">
        <v>625</v>
      </c>
      <c r="C207" s="80" t="s">
        <v>626</v>
      </c>
      <c r="D207" s="75"/>
      <c r="E207" s="3" t="s">
        <v>627</v>
      </c>
      <c r="F207" s="23">
        <v>0.95</v>
      </c>
      <c r="G207" s="23">
        <v>0</v>
      </c>
      <c r="H207" s="23">
        <f>F207*AO207</f>
        <v>0</v>
      </c>
      <c r="I207" s="23">
        <f>F207*AP207</f>
        <v>0</v>
      </c>
      <c r="J207" s="23">
        <f>F207*G207</f>
        <v>0</v>
      </c>
      <c r="K207" s="23">
        <v>0</v>
      </c>
      <c r="L207" s="24">
        <v>0</v>
      </c>
      <c r="Z207" s="23">
        <f>IF(AQ207="5",BJ207,0)</f>
        <v>0</v>
      </c>
      <c r="AB207" s="23">
        <f>IF(AQ207="1",BH207,0)</f>
        <v>0</v>
      </c>
      <c r="AC207" s="23">
        <f>IF(AQ207="1",BI207,0)</f>
        <v>0</v>
      </c>
      <c r="AD207" s="23">
        <f>IF(AQ207="7",BH207,0)</f>
        <v>0</v>
      </c>
      <c r="AE207" s="23">
        <f>IF(AQ207="7",BI207,0)</f>
        <v>0</v>
      </c>
      <c r="AF207" s="23">
        <f>IF(AQ207="2",BH207,0)</f>
        <v>0</v>
      </c>
      <c r="AG207" s="23">
        <f>IF(AQ207="2",BI207,0)</f>
        <v>0</v>
      </c>
      <c r="AH207" s="23">
        <f>IF(AQ207="0",BJ207,0)</f>
        <v>0</v>
      </c>
      <c r="AI207" s="8" t="s">
        <v>53</v>
      </c>
      <c r="AJ207" s="23">
        <f>IF(AN207=0,J207,0)</f>
        <v>0</v>
      </c>
      <c r="AK207" s="23">
        <f>IF(AN207=12,J207,0)</f>
        <v>0</v>
      </c>
      <c r="AL207" s="23">
        <f>IF(AN207=21,J207,0)</f>
        <v>0</v>
      </c>
      <c r="AN207" s="23">
        <v>21</v>
      </c>
      <c r="AO207" s="23">
        <f>G207*0</f>
        <v>0</v>
      </c>
      <c r="AP207" s="23">
        <f>G207*(1-0)</f>
        <v>0</v>
      </c>
      <c r="AQ207" s="25" t="s">
        <v>80</v>
      </c>
      <c r="AV207" s="23">
        <f>AW207+AX207</f>
        <v>0</v>
      </c>
      <c r="AW207" s="23">
        <f>F207*AO207</f>
        <v>0</v>
      </c>
      <c r="AX207" s="23">
        <f>F207*AP207</f>
        <v>0</v>
      </c>
      <c r="AY207" s="25" t="s">
        <v>628</v>
      </c>
      <c r="AZ207" s="25" t="s">
        <v>565</v>
      </c>
      <c r="BA207" s="8" t="s">
        <v>62</v>
      </c>
      <c r="BC207" s="23">
        <f>AW207+AX207</f>
        <v>0</v>
      </c>
      <c r="BD207" s="23">
        <f>G207/(100-BE207)*100</f>
        <v>0</v>
      </c>
      <c r="BE207" s="23">
        <v>0</v>
      </c>
      <c r="BF207" s="23">
        <f>207</f>
        <v>207</v>
      </c>
      <c r="BH207" s="23">
        <f>F207*AO207</f>
        <v>0</v>
      </c>
      <c r="BI207" s="23">
        <f>F207*AP207</f>
        <v>0</v>
      </c>
      <c r="BJ207" s="23">
        <f>F207*G207</f>
        <v>0</v>
      </c>
      <c r="BK207" s="23"/>
      <c r="BL207" s="23"/>
      <c r="BW207" s="23">
        <v>21</v>
      </c>
    </row>
    <row r="208" spans="1:75" ht="13.5" customHeight="1" x14ac:dyDescent="0.25">
      <c r="A208" s="2" t="s">
        <v>629</v>
      </c>
      <c r="B208" s="3" t="s">
        <v>630</v>
      </c>
      <c r="C208" s="80" t="s">
        <v>631</v>
      </c>
      <c r="D208" s="75"/>
      <c r="E208" s="3" t="s">
        <v>627</v>
      </c>
      <c r="F208" s="23">
        <v>0.95</v>
      </c>
      <c r="G208" s="23">
        <v>0</v>
      </c>
      <c r="H208" s="23">
        <f>F208*AO208</f>
        <v>0</v>
      </c>
      <c r="I208" s="23">
        <f>F208*AP208</f>
        <v>0</v>
      </c>
      <c r="J208" s="23">
        <f>F208*G208</f>
        <v>0</v>
      </c>
      <c r="K208" s="23">
        <v>0</v>
      </c>
      <c r="L208" s="24">
        <v>0</v>
      </c>
      <c r="Z208" s="23">
        <f>IF(AQ208="5",BJ208,0)</f>
        <v>0</v>
      </c>
      <c r="AB208" s="23">
        <f>IF(AQ208="1",BH208,0)</f>
        <v>0</v>
      </c>
      <c r="AC208" s="23">
        <f>IF(AQ208="1",BI208,0)</f>
        <v>0</v>
      </c>
      <c r="AD208" s="23">
        <f>IF(AQ208="7",BH208,0)</f>
        <v>0</v>
      </c>
      <c r="AE208" s="23">
        <f>IF(AQ208="7",BI208,0)</f>
        <v>0</v>
      </c>
      <c r="AF208" s="23">
        <f>IF(AQ208="2",BH208,0)</f>
        <v>0</v>
      </c>
      <c r="AG208" s="23">
        <f>IF(AQ208="2",BI208,0)</f>
        <v>0</v>
      </c>
      <c r="AH208" s="23">
        <f>IF(AQ208="0",BJ208,0)</f>
        <v>0</v>
      </c>
      <c r="AI208" s="8" t="s">
        <v>53</v>
      </c>
      <c r="AJ208" s="23">
        <f>IF(AN208=0,J208,0)</f>
        <v>0</v>
      </c>
      <c r="AK208" s="23">
        <f>IF(AN208=12,J208,0)</f>
        <v>0</v>
      </c>
      <c r="AL208" s="23">
        <f>IF(AN208=21,J208,0)</f>
        <v>0</v>
      </c>
      <c r="AN208" s="23">
        <v>21</v>
      </c>
      <c r="AO208" s="23">
        <f>G208*0</f>
        <v>0</v>
      </c>
      <c r="AP208" s="23">
        <f>G208*(1-0)</f>
        <v>0</v>
      </c>
      <c r="AQ208" s="25" t="s">
        <v>80</v>
      </c>
      <c r="AV208" s="23">
        <f>AW208+AX208</f>
        <v>0</v>
      </c>
      <c r="AW208" s="23">
        <f>F208*AO208</f>
        <v>0</v>
      </c>
      <c r="AX208" s="23">
        <f>F208*AP208</f>
        <v>0</v>
      </c>
      <c r="AY208" s="25" t="s">
        <v>628</v>
      </c>
      <c r="AZ208" s="25" t="s">
        <v>565</v>
      </c>
      <c r="BA208" s="8" t="s">
        <v>62</v>
      </c>
      <c r="BC208" s="23">
        <f>AW208+AX208</f>
        <v>0</v>
      </c>
      <c r="BD208" s="23">
        <f>G208/(100-BE208)*100</f>
        <v>0</v>
      </c>
      <c r="BE208" s="23">
        <v>0</v>
      </c>
      <c r="BF208" s="23">
        <f>208</f>
        <v>208</v>
      </c>
      <c r="BH208" s="23">
        <f>F208*AO208</f>
        <v>0</v>
      </c>
      <c r="BI208" s="23">
        <f>F208*AP208</f>
        <v>0</v>
      </c>
      <c r="BJ208" s="23">
        <f>F208*G208</f>
        <v>0</v>
      </c>
      <c r="BK208" s="23"/>
      <c r="BL208" s="23"/>
      <c r="BW208" s="23">
        <v>21</v>
      </c>
    </row>
    <row r="209" spans="1:75" x14ac:dyDescent="0.25">
      <c r="A209" s="26" t="s">
        <v>53</v>
      </c>
      <c r="B209" s="27" t="s">
        <v>632</v>
      </c>
      <c r="C209" s="98" t="s">
        <v>633</v>
      </c>
      <c r="D209" s="99"/>
      <c r="E209" s="28" t="s">
        <v>10</v>
      </c>
      <c r="F209" s="28" t="s">
        <v>10</v>
      </c>
      <c r="G209" s="28" t="s">
        <v>10</v>
      </c>
      <c r="H209" s="1">
        <f>SUM(H210:H211)</f>
        <v>0</v>
      </c>
      <c r="I209" s="1">
        <f>SUM(I210:I211)</f>
        <v>0</v>
      </c>
      <c r="J209" s="1">
        <f>SUM(J210:J211)</f>
        <v>0</v>
      </c>
      <c r="K209" s="8" t="s">
        <v>53</v>
      </c>
      <c r="L209" s="29" t="s">
        <v>53</v>
      </c>
      <c r="AI209" s="8" t="s">
        <v>53</v>
      </c>
      <c r="AS209" s="1">
        <f>SUM(AJ210:AJ211)</f>
        <v>0</v>
      </c>
      <c r="AT209" s="1">
        <f>SUM(AK210:AK211)</f>
        <v>0</v>
      </c>
      <c r="AU209" s="1">
        <f>SUM(AL210:AL211)</f>
        <v>0</v>
      </c>
    </row>
    <row r="210" spans="1:75" ht="13.5" customHeight="1" x14ac:dyDescent="0.25">
      <c r="A210" s="2" t="s">
        <v>634</v>
      </c>
      <c r="B210" s="3" t="s">
        <v>635</v>
      </c>
      <c r="C210" s="80" t="s">
        <v>636</v>
      </c>
      <c r="D210" s="75"/>
      <c r="E210" s="3" t="s">
        <v>627</v>
      </c>
      <c r="F210" s="23">
        <v>0.02</v>
      </c>
      <c r="G210" s="23">
        <v>0</v>
      </c>
      <c r="H210" s="23">
        <f>F210*AO210</f>
        <v>0</v>
      </c>
      <c r="I210" s="23">
        <f>F210*AP210</f>
        <v>0</v>
      </c>
      <c r="J210" s="23">
        <f>F210*G210</f>
        <v>0</v>
      </c>
      <c r="K210" s="23">
        <v>0</v>
      </c>
      <c r="L210" s="24">
        <v>0</v>
      </c>
      <c r="Z210" s="23">
        <f>IF(AQ210="5",BJ210,0)</f>
        <v>0</v>
      </c>
      <c r="AB210" s="23">
        <f>IF(AQ210="1",BH210,0)</f>
        <v>0</v>
      </c>
      <c r="AC210" s="23">
        <f>IF(AQ210="1",BI210,0)</f>
        <v>0</v>
      </c>
      <c r="AD210" s="23">
        <f>IF(AQ210="7",BH210,0)</f>
        <v>0</v>
      </c>
      <c r="AE210" s="23">
        <f>IF(AQ210="7",BI210,0)</f>
        <v>0</v>
      </c>
      <c r="AF210" s="23">
        <f>IF(AQ210="2",BH210,0)</f>
        <v>0</v>
      </c>
      <c r="AG210" s="23">
        <f>IF(AQ210="2",BI210,0)</f>
        <v>0</v>
      </c>
      <c r="AH210" s="23">
        <f>IF(AQ210="0",BJ210,0)</f>
        <v>0</v>
      </c>
      <c r="AI210" s="8" t="s">
        <v>53</v>
      </c>
      <c r="AJ210" s="23">
        <f>IF(AN210=0,J210,0)</f>
        <v>0</v>
      </c>
      <c r="AK210" s="23">
        <f>IF(AN210=12,J210,0)</f>
        <v>0</v>
      </c>
      <c r="AL210" s="23">
        <f>IF(AN210=21,J210,0)</f>
        <v>0</v>
      </c>
      <c r="AN210" s="23">
        <v>21</v>
      </c>
      <c r="AO210" s="23">
        <f>G210*0</f>
        <v>0</v>
      </c>
      <c r="AP210" s="23">
        <f>G210*(1-0)</f>
        <v>0</v>
      </c>
      <c r="AQ210" s="25" t="s">
        <v>80</v>
      </c>
      <c r="AV210" s="23">
        <f>AW210+AX210</f>
        <v>0</v>
      </c>
      <c r="AW210" s="23">
        <f>F210*AO210</f>
        <v>0</v>
      </c>
      <c r="AX210" s="23">
        <f>F210*AP210</f>
        <v>0</v>
      </c>
      <c r="AY210" s="25" t="s">
        <v>637</v>
      </c>
      <c r="AZ210" s="25" t="s">
        <v>565</v>
      </c>
      <c r="BA210" s="8" t="s">
        <v>62</v>
      </c>
      <c r="BC210" s="23">
        <f>AW210+AX210</f>
        <v>0</v>
      </c>
      <c r="BD210" s="23">
        <f>G210/(100-BE210)*100</f>
        <v>0</v>
      </c>
      <c r="BE210" s="23">
        <v>0</v>
      </c>
      <c r="BF210" s="23">
        <f>210</f>
        <v>210</v>
      </c>
      <c r="BH210" s="23">
        <f>F210*AO210</f>
        <v>0</v>
      </c>
      <c r="BI210" s="23">
        <f>F210*AP210</f>
        <v>0</v>
      </c>
      <c r="BJ210" s="23">
        <f>F210*G210</f>
        <v>0</v>
      </c>
      <c r="BK210" s="23"/>
      <c r="BL210" s="23"/>
      <c r="BW210" s="23">
        <v>21</v>
      </c>
    </row>
    <row r="211" spans="1:75" ht="13.5" customHeight="1" x14ac:dyDescent="0.25">
      <c r="A211" s="2" t="s">
        <v>638</v>
      </c>
      <c r="B211" s="3" t="s">
        <v>639</v>
      </c>
      <c r="C211" s="80" t="s">
        <v>640</v>
      </c>
      <c r="D211" s="75"/>
      <c r="E211" s="3" t="s">
        <v>627</v>
      </c>
      <c r="F211" s="23">
        <v>0.02</v>
      </c>
      <c r="G211" s="23">
        <v>0</v>
      </c>
      <c r="H211" s="23">
        <f>F211*AO211</f>
        <v>0</v>
      </c>
      <c r="I211" s="23">
        <f>F211*AP211</f>
        <v>0</v>
      </c>
      <c r="J211" s="23">
        <f>F211*G211</f>
        <v>0</v>
      </c>
      <c r="K211" s="23">
        <v>0</v>
      </c>
      <c r="L211" s="24">
        <v>0</v>
      </c>
      <c r="Z211" s="23">
        <f>IF(AQ211="5",BJ211,0)</f>
        <v>0</v>
      </c>
      <c r="AB211" s="23">
        <f>IF(AQ211="1",BH211,0)</f>
        <v>0</v>
      </c>
      <c r="AC211" s="23">
        <f>IF(AQ211="1",BI211,0)</f>
        <v>0</v>
      </c>
      <c r="AD211" s="23">
        <f>IF(AQ211="7",BH211,0)</f>
        <v>0</v>
      </c>
      <c r="AE211" s="23">
        <f>IF(AQ211="7",BI211,0)</f>
        <v>0</v>
      </c>
      <c r="AF211" s="23">
        <f>IF(AQ211="2",BH211,0)</f>
        <v>0</v>
      </c>
      <c r="AG211" s="23">
        <f>IF(AQ211="2",BI211,0)</f>
        <v>0</v>
      </c>
      <c r="AH211" s="23">
        <f>IF(AQ211="0",BJ211,0)</f>
        <v>0</v>
      </c>
      <c r="AI211" s="8" t="s">
        <v>53</v>
      </c>
      <c r="AJ211" s="23">
        <f>IF(AN211=0,J211,0)</f>
        <v>0</v>
      </c>
      <c r="AK211" s="23">
        <f>IF(AN211=12,J211,0)</f>
        <v>0</v>
      </c>
      <c r="AL211" s="23">
        <f>IF(AN211=21,J211,0)</f>
        <v>0</v>
      </c>
      <c r="AN211" s="23">
        <v>21</v>
      </c>
      <c r="AO211" s="23">
        <f>G211*0</f>
        <v>0</v>
      </c>
      <c r="AP211" s="23">
        <f>G211*(1-0)</f>
        <v>0</v>
      </c>
      <c r="AQ211" s="25" t="s">
        <v>80</v>
      </c>
      <c r="AV211" s="23">
        <f>AW211+AX211</f>
        <v>0</v>
      </c>
      <c r="AW211" s="23">
        <f>F211*AO211</f>
        <v>0</v>
      </c>
      <c r="AX211" s="23">
        <f>F211*AP211</f>
        <v>0</v>
      </c>
      <c r="AY211" s="25" t="s">
        <v>637</v>
      </c>
      <c r="AZ211" s="25" t="s">
        <v>565</v>
      </c>
      <c r="BA211" s="8" t="s">
        <v>62</v>
      </c>
      <c r="BC211" s="23">
        <f>AW211+AX211</f>
        <v>0</v>
      </c>
      <c r="BD211" s="23">
        <f>G211/(100-BE211)*100</f>
        <v>0</v>
      </c>
      <c r="BE211" s="23">
        <v>0</v>
      </c>
      <c r="BF211" s="23">
        <f>211</f>
        <v>211</v>
      </c>
      <c r="BH211" s="23">
        <f>F211*AO211</f>
        <v>0</v>
      </c>
      <c r="BI211" s="23">
        <f>F211*AP211</f>
        <v>0</v>
      </c>
      <c r="BJ211" s="23">
        <f>F211*G211</f>
        <v>0</v>
      </c>
      <c r="BK211" s="23"/>
      <c r="BL211" s="23"/>
      <c r="BW211" s="23">
        <v>21</v>
      </c>
    </row>
    <row r="212" spans="1:75" x14ac:dyDescent="0.25">
      <c r="A212" s="26" t="s">
        <v>53</v>
      </c>
      <c r="B212" s="27" t="s">
        <v>641</v>
      </c>
      <c r="C212" s="98" t="s">
        <v>118</v>
      </c>
      <c r="D212" s="99"/>
      <c r="E212" s="28" t="s">
        <v>10</v>
      </c>
      <c r="F212" s="28" t="s">
        <v>10</v>
      </c>
      <c r="G212" s="28" t="s">
        <v>10</v>
      </c>
      <c r="H212" s="1">
        <f>SUM(H213:H214)</f>
        <v>0</v>
      </c>
      <c r="I212" s="1">
        <f>SUM(I213:I214)</f>
        <v>0</v>
      </c>
      <c r="J212" s="1">
        <f>SUM(J213:J214)</f>
        <v>0</v>
      </c>
      <c r="K212" s="8" t="s">
        <v>53</v>
      </c>
      <c r="L212" s="29" t="s">
        <v>53</v>
      </c>
      <c r="AI212" s="8" t="s">
        <v>53</v>
      </c>
      <c r="AS212" s="1">
        <f>SUM(AJ213:AJ214)</f>
        <v>0</v>
      </c>
      <c r="AT212" s="1">
        <f>SUM(AK213:AK214)</f>
        <v>0</v>
      </c>
      <c r="AU212" s="1">
        <f>SUM(AL213:AL214)</f>
        <v>0</v>
      </c>
    </row>
    <row r="213" spans="1:75" ht="13.5" customHeight="1" x14ac:dyDescent="0.25">
      <c r="A213" s="2" t="s">
        <v>642</v>
      </c>
      <c r="B213" s="3" t="s">
        <v>643</v>
      </c>
      <c r="C213" s="80" t="s">
        <v>644</v>
      </c>
      <c r="D213" s="75"/>
      <c r="E213" s="3" t="s">
        <v>627</v>
      </c>
      <c r="F213" s="23">
        <v>0.06</v>
      </c>
      <c r="G213" s="23">
        <v>0</v>
      </c>
      <c r="H213" s="23">
        <f>F213*AO213</f>
        <v>0</v>
      </c>
      <c r="I213" s="23">
        <f>F213*AP213</f>
        <v>0</v>
      </c>
      <c r="J213" s="23">
        <f>F213*G213</f>
        <v>0</v>
      </c>
      <c r="K213" s="23">
        <v>0</v>
      </c>
      <c r="L213" s="24">
        <v>0</v>
      </c>
      <c r="Z213" s="23">
        <f>IF(AQ213="5",BJ213,0)</f>
        <v>0</v>
      </c>
      <c r="AB213" s="23">
        <f>IF(AQ213="1",BH213,0)</f>
        <v>0</v>
      </c>
      <c r="AC213" s="23">
        <f>IF(AQ213="1",BI213,0)</f>
        <v>0</v>
      </c>
      <c r="AD213" s="23">
        <f>IF(AQ213="7",BH213,0)</f>
        <v>0</v>
      </c>
      <c r="AE213" s="23">
        <f>IF(AQ213="7",BI213,0)</f>
        <v>0</v>
      </c>
      <c r="AF213" s="23">
        <f>IF(AQ213="2",BH213,0)</f>
        <v>0</v>
      </c>
      <c r="AG213" s="23">
        <f>IF(AQ213="2",BI213,0)</f>
        <v>0</v>
      </c>
      <c r="AH213" s="23">
        <f>IF(AQ213="0",BJ213,0)</f>
        <v>0</v>
      </c>
      <c r="AI213" s="8" t="s">
        <v>53</v>
      </c>
      <c r="AJ213" s="23">
        <f>IF(AN213=0,J213,0)</f>
        <v>0</v>
      </c>
      <c r="AK213" s="23">
        <f>IF(AN213=12,J213,0)</f>
        <v>0</v>
      </c>
      <c r="AL213" s="23">
        <f>IF(AN213=21,J213,0)</f>
        <v>0</v>
      </c>
      <c r="AN213" s="23">
        <v>21</v>
      </c>
      <c r="AO213" s="23">
        <f>G213*0</f>
        <v>0</v>
      </c>
      <c r="AP213" s="23">
        <f>G213*(1-0)</f>
        <v>0</v>
      </c>
      <c r="AQ213" s="25" t="s">
        <v>80</v>
      </c>
      <c r="AV213" s="23">
        <f>AW213+AX213</f>
        <v>0</v>
      </c>
      <c r="AW213" s="23">
        <f>F213*AO213</f>
        <v>0</v>
      </c>
      <c r="AX213" s="23">
        <f>F213*AP213</f>
        <v>0</v>
      </c>
      <c r="AY213" s="25" t="s">
        <v>645</v>
      </c>
      <c r="AZ213" s="25" t="s">
        <v>565</v>
      </c>
      <c r="BA213" s="8" t="s">
        <v>62</v>
      </c>
      <c r="BC213" s="23">
        <f>AW213+AX213</f>
        <v>0</v>
      </c>
      <c r="BD213" s="23">
        <f>G213/(100-BE213)*100</f>
        <v>0</v>
      </c>
      <c r="BE213" s="23">
        <v>0</v>
      </c>
      <c r="BF213" s="23">
        <f>213</f>
        <v>213</v>
      </c>
      <c r="BH213" s="23">
        <f>F213*AO213</f>
        <v>0</v>
      </c>
      <c r="BI213" s="23">
        <f>F213*AP213</f>
        <v>0</v>
      </c>
      <c r="BJ213" s="23">
        <f>F213*G213</f>
        <v>0</v>
      </c>
      <c r="BK213" s="23"/>
      <c r="BL213" s="23"/>
      <c r="BW213" s="23">
        <v>21</v>
      </c>
    </row>
    <row r="214" spans="1:75" ht="13.5" customHeight="1" x14ac:dyDescent="0.25">
      <c r="A214" s="2" t="s">
        <v>646</v>
      </c>
      <c r="B214" s="3" t="s">
        <v>647</v>
      </c>
      <c r="C214" s="80" t="s">
        <v>648</v>
      </c>
      <c r="D214" s="75"/>
      <c r="E214" s="3" t="s">
        <v>627</v>
      </c>
      <c r="F214" s="23">
        <v>0.06</v>
      </c>
      <c r="G214" s="23">
        <v>0</v>
      </c>
      <c r="H214" s="23">
        <f>F214*AO214</f>
        <v>0</v>
      </c>
      <c r="I214" s="23">
        <f>F214*AP214</f>
        <v>0</v>
      </c>
      <c r="J214" s="23">
        <f>F214*G214</f>
        <v>0</v>
      </c>
      <c r="K214" s="23">
        <v>0</v>
      </c>
      <c r="L214" s="24">
        <v>0</v>
      </c>
      <c r="Z214" s="23">
        <f>IF(AQ214="5",BJ214,0)</f>
        <v>0</v>
      </c>
      <c r="AB214" s="23">
        <f>IF(AQ214="1",BH214,0)</f>
        <v>0</v>
      </c>
      <c r="AC214" s="23">
        <f>IF(AQ214="1",BI214,0)</f>
        <v>0</v>
      </c>
      <c r="AD214" s="23">
        <f>IF(AQ214="7",BH214,0)</f>
        <v>0</v>
      </c>
      <c r="AE214" s="23">
        <f>IF(AQ214="7",BI214,0)</f>
        <v>0</v>
      </c>
      <c r="AF214" s="23">
        <f>IF(AQ214="2",BH214,0)</f>
        <v>0</v>
      </c>
      <c r="AG214" s="23">
        <f>IF(AQ214="2",BI214,0)</f>
        <v>0</v>
      </c>
      <c r="AH214" s="23">
        <f>IF(AQ214="0",BJ214,0)</f>
        <v>0</v>
      </c>
      <c r="AI214" s="8" t="s">
        <v>53</v>
      </c>
      <c r="AJ214" s="23">
        <f>IF(AN214=0,J214,0)</f>
        <v>0</v>
      </c>
      <c r="AK214" s="23">
        <f>IF(AN214=12,J214,0)</f>
        <v>0</v>
      </c>
      <c r="AL214" s="23">
        <f>IF(AN214=21,J214,0)</f>
        <v>0</v>
      </c>
      <c r="AN214" s="23">
        <v>21</v>
      </c>
      <c r="AO214" s="23">
        <f>G214*0</f>
        <v>0</v>
      </c>
      <c r="AP214" s="23">
        <f>G214*(1-0)</f>
        <v>0</v>
      </c>
      <c r="AQ214" s="25" t="s">
        <v>80</v>
      </c>
      <c r="AV214" s="23">
        <f>AW214+AX214</f>
        <v>0</v>
      </c>
      <c r="AW214" s="23">
        <f>F214*AO214</f>
        <v>0</v>
      </c>
      <c r="AX214" s="23">
        <f>F214*AP214</f>
        <v>0</v>
      </c>
      <c r="AY214" s="25" t="s">
        <v>645</v>
      </c>
      <c r="AZ214" s="25" t="s">
        <v>565</v>
      </c>
      <c r="BA214" s="8" t="s">
        <v>62</v>
      </c>
      <c r="BC214" s="23">
        <f>AW214+AX214</f>
        <v>0</v>
      </c>
      <c r="BD214" s="23">
        <f>G214/(100-BE214)*100</f>
        <v>0</v>
      </c>
      <c r="BE214" s="23">
        <v>0</v>
      </c>
      <c r="BF214" s="23">
        <f>214</f>
        <v>214</v>
      </c>
      <c r="BH214" s="23">
        <f>F214*AO214</f>
        <v>0</v>
      </c>
      <c r="BI214" s="23">
        <f>F214*AP214</f>
        <v>0</v>
      </c>
      <c r="BJ214" s="23">
        <f>F214*G214</f>
        <v>0</v>
      </c>
      <c r="BK214" s="23"/>
      <c r="BL214" s="23"/>
      <c r="BW214" s="23">
        <v>21</v>
      </c>
    </row>
    <row r="215" spans="1:75" x14ac:dyDescent="0.25">
      <c r="A215" s="26" t="s">
        <v>53</v>
      </c>
      <c r="B215" s="27" t="s">
        <v>649</v>
      </c>
      <c r="C215" s="98" t="s">
        <v>133</v>
      </c>
      <c r="D215" s="99"/>
      <c r="E215" s="28" t="s">
        <v>10</v>
      </c>
      <c r="F215" s="28" t="s">
        <v>10</v>
      </c>
      <c r="G215" s="28" t="s">
        <v>10</v>
      </c>
      <c r="H215" s="1">
        <f>SUM(H216:H217)</f>
        <v>0</v>
      </c>
      <c r="I215" s="1">
        <f>SUM(I216:I217)</f>
        <v>0</v>
      </c>
      <c r="J215" s="1">
        <f>SUM(J216:J217)</f>
        <v>0</v>
      </c>
      <c r="K215" s="8" t="s">
        <v>53</v>
      </c>
      <c r="L215" s="29" t="s">
        <v>53</v>
      </c>
      <c r="AI215" s="8" t="s">
        <v>53</v>
      </c>
      <c r="AS215" s="1">
        <f>SUM(AJ216:AJ217)</f>
        <v>0</v>
      </c>
      <c r="AT215" s="1">
        <f>SUM(AK216:AK217)</f>
        <v>0</v>
      </c>
      <c r="AU215" s="1">
        <f>SUM(AL216:AL217)</f>
        <v>0</v>
      </c>
    </row>
    <row r="216" spans="1:75" ht="13.5" customHeight="1" x14ac:dyDescent="0.25">
      <c r="A216" s="2" t="s">
        <v>650</v>
      </c>
      <c r="B216" s="3" t="s">
        <v>651</v>
      </c>
      <c r="C216" s="80" t="s">
        <v>652</v>
      </c>
      <c r="D216" s="75"/>
      <c r="E216" s="3" t="s">
        <v>627</v>
      </c>
      <c r="F216" s="23">
        <v>0.2</v>
      </c>
      <c r="G216" s="23">
        <v>0</v>
      </c>
      <c r="H216" s="23">
        <f>F216*AO216</f>
        <v>0</v>
      </c>
      <c r="I216" s="23">
        <f>F216*AP216</f>
        <v>0</v>
      </c>
      <c r="J216" s="23">
        <f>F216*G216</f>
        <v>0</v>
      </c>
      <c r="K216" s="23">
        <v>0</v>
      </c>
      <c r="L216" s="24">
        <v>0</v>
      </c>
      <c r="Z216" s="23">
        <f>IF(AQ216="5",BJ216,0)</f>
        <v>0</v>
      </c>
      <c r="AB216" s="23">
        <f>IF(AQ216="1",BH216,0)</f>
        <v>0</v>
      </c>
      <c r="AC216" s="23">
        <f>IF(AQ216="1",BI216,0)</f>
        <v>0</v>
      </c>
      <c r="AD216" s="23">
        <f>IF(AQ216="7",BH216,0)</f>
        <v>0</v>
      </c>
      <c r="AE216" s="23">
        <f>IF(AQ216="7",BI216,0)</f>
        <v>0</v>
      </c>
      <c r="AF216" s="23">
        <f>IF(AQ216="2",BH216,0)</f>
        <v>0</v>
      </c>
      <c r="AG216" s="23">
        <f>IF(AQ216="2",BI216,0)</f>
        <v>0</v>
      </c>
      <c r="AH216" s="23">
        <f>IF(AQ216="0",BJ216,0)</f>
        <v>0</v>
      </c>
      <c r="AI216" s="8" t="s">
        <v>53</v>
      </c>
      <c r="AJ216" s="23">
        <f>IF(AN216=0,J216,0)</f>
        <v>0</v>
      </c>
      <c r="AK216" s="23">
        <f>IF(AN216=12,J216,0)</f>
        <v>0</v>
      </c>
      <c r="AL216" s="23">
        <f>IF(AN216=21,J216,0)</f>
        <v>0</v>
      </c>
      <c r="AN216" s="23">
        <v>21</v>
      </c>
      <c r="AO216" s="23">
        <f>G216*0</f>
        <v>0</v>
      </c>
      <c r="AP216" s="23">
        <f>G216*(1-0)</f>
        <v>0</v>
      </c>
      <c r="AQ216" s="25" t="s">
        <v>80</v>
      </c>
      <c r="AV216" s="23">
        <f>AW216+AX216</f>
        <v>0</v>
      </c>
      <c r="AW216" s="23">
        <f>F216*AO216</f>
        <v>0</v>
      </c>
      <c r="AX216" s="23">
        <f>F216*AP216</f>
        <v>0</v>
      </c>
      <c r="AY216" s="25" t="s">
        <v>653</v>
      </c>
      <c r="AZ216" s="25" t="s">
        <v>565</v>
      </c>
      <c r="BA216" s="8" t="s">
        <v>62</v>
      </c>
      <c r="BC216" s="23">
        <f>AW216+AX216</f>
        <v>0</v>
      </c>
      <c r="BD216" s="23">
        <f>G216/(100-BE216)*100</f>
        <v>0</v>
      </c>
      <c r="BE216" s="23">
        <v>0</v>
      </c>
      <c r="BF216" s="23">
        <f>216</f>
        <v>216</v>
      </c>
      <c r="BH216" s="23">
        <f>F216*AO216</f>
        <v>0</v>
      </c>
      <c r="BI216" s="23">
        <f>F216*AP216</f>
        <v>0</v>
      </c>
      <c r="BJ216" s="23">
        <f>F216*G216</f>
        <v>0</v>
      </c>
      <c r="BK216" s="23"/>
      <c r="BL216" s="23"/>
      <c r="BW216" s="23">
        <v>21</v>
      </c>
    </row>
    <row r="217" spans="1:75" ht="13.5" customHeight="1" x14ac:dyDescent="0.25">
      <c r="A217" s="2" t="s">
        <v>654</v>
      </c>
      <c r="B217" s="3" t="s">
        <v>655</v>
      </c>
      <c r="C217" s="80" t="s">
        <v>656</v>
      </c>
      <c r="D217" s="75"/>
      <c r="E217" s="3" t="s">
        <v>627</v>
      </c>
      <c r="F217" s="23">
        <v>0.02</v>
      </c>
      <c r="G217" s="23">
        <v>0</v>
      </c>
      <c r="H217" s="23">
        <f>F217*AO217</f>
        <v>0</v>
      </c>
      <c r="I217" s="23">
        <f>F217*AP217</f>
        <v>0</v>
      </c>
      <c r="J217" s="23">
        <f>F217*G217</f>
        <v>0</v>
      </c>
      <c r="K217" s="23">
        <v>0</v>
      </c>
      <c r="L217" s="24">
        <v>0</v>
      </c>
      <c r="Z217" s="23">
        <f>IF(AQ217="5",BJ217,0)</f>
        <v>0</v>
      </c>
      <c r="AB217" s="23">
        <f>IF(AQ217="1",BH217,0)</f>
        <v>0</v>
      </c>
      <c r="AC217" s="23">
        <f>IF(AQ217="1",BI217,0)</f>
        <v>0</v>
      </c>
      <c r="AD217" s="23">
        <f>IF(AQ217="7",BH217,0)</f>
        <v>0</v>
      </c>
      <c r="AE217" s="23">
        <f>IF(AQ217="7",BI217,0)</f>
        <v>0</v>
      </c>
      <c r="AF217" s="23">
        <f>IF(AQ217="2",BH217,0)</f>
        <v>0</v>
      </c>
      <c r="AG217" s="23">
        <f>IF(AQ217="2",BI217,0)</f>
        <v>0</v>
      </c>
      <c r="AH217" s="23">
        <f>IF(AQ217="0",BJ217,0)</f>
        <v>0</v>
      </c>
      <c r="AI217" s="8" t="s">
        <v>53</v>
      </c>
      <c r="AJ217" s="23">
        <f>IF(AN217=0,J217,0)</f>
        <v>0</v>
      </c>
      <c r="AK217" s="23">
        <f>IF(AN217=12,J217,0)</f>
        <v>0</v>
      </c>
      <c r="AL217" s="23">
        <f>IF(AN217=21,J217,0)</f>
        <v>0</v>
      </c>
      <c r="AN217" s="23">
        <v>21</v>
      </c>
      <c r="AO217" s="23">
        <f>G217*0</f>
        <v>0</v>
      </c>
      <c r="AP217" s="23">
        <f>G217*(1-0)</f>
        <v>0</v>
      </c>
      <c r="AQ217" s="25" t="s">
        <v>80</v>
      </c>
      <c r="AV217" s="23">
        <f>AW217+AX217</f>
        <v>0</v>
      </c>
      <c r="AW217" s="23">
        <f>F217*AO217</f>
        <v>0</v>
      </c>
      <c r="AX217" s="23">
        <f>F217*AP217</f>
        <v>0</v>
      </c>
      <c r="AY217" s="25" t="s">
        <v>653</v>
      </c>
      <c r="AZ217" s="25" t="s">
        <v>565</v>
      </c>
      <c r="BA217" s="8" t="s">
        <v>62</v>
      </c>
      <c r="BC217" s="23">
        <f>AW217+AX217</f>
        <v>0</v>
      </c>
      <c r="BD217" s="23">
        <f>G217/(100-BE217)*100</f>
        <v>0</v>
      </c>
      <c r="BE217" s="23">
        <v>0</v>
      </c>
      <c r="BF217" s="23">
        <f>217</f>
        <v>217</v>
      </c>
      <c r="BH217" s="23">
        <f>F217*AO217</f>
        <v>0</v>
      </c>
      <c r="BI217" s="23">
        <f>F217*AP217</f>
        <v>0</v>
      </c>
      <c r="BJ217" s="23">
        <f>F217*G217</f>
        <v>0</v>
      </c>
      <c r="BK217" s="23"/>
      <c r="BL217" s="23"/>
      <c r="BW217" s="23">
        <v>21</v>
      </c>
    </row>
    <row r="218" spans="1:75" x14ac:dyDescent="0.25">
      <c r="A218" s="26" t="s">
        <v>53</v>
      </c>
      <c r="B218" s="27" t="s">
        <v>657</v>
      </c>
      <c r="C218" s="98" t="s">
        <v>215</v>
      </c>
      <c r="D218" s="99"/>
      <c r="E218" s="28" t="s">
        <v>10</v>
      </c>
      <c r="F218" s="28" t="s">
        <v>10</v>
      </c>
      <c r="G218" s="28" t="s">
        <v>10</v>
      </c>
      <c r="H218" s="1">
        <f>SUM(H219:H220)</f>
        <v>0</v>
      </c>
      <c r="I218" s="1">
        <f>SUM(I219:I220)</f>
        <v>0</v>
      </c>
      <c r="J218" s="1">
        <f>SUM(J219:J220)</f>
        <v>0</v>
      </c>
      <c r="K218" s="8" t="s">
        <v>53</v>
      </c>
      <c r="L218" s="29" t="s">
        <v>53</v>
      </c>
      <c r="AI218" s="8" t="s">
        <v>53</v>
      </c>
      <c r="AS218" s="1">
        <f>SUM(AJ219:AJ220)</f>
        <v>0</v>
      </c>
      <c r="AT218" s="1">
        <f>SUM(AK219:AK220)</f>
        <v>0</v>
      </c>
      <c r="AU218" s="1">
        <f>SUM(AL219:AL220)</f>
        <v>0</v>
      </c>
    </row>
    <row r="219" spans="1:75" ht="13.5" customHeight="1" x14ac:dyDescent="0.25">
      <c r="A219" s="2" t="s">
        <v>658</v>
      </c>
      <c r="B219" s="3" t="s">
        <v>659</v>
      </c>
      <c r="C219" s="80" t="s">
        <v>660</v>
      </c>
      <c r="D219" s="75"/>
      <c r="E219" s="3" t="s">
        <v>627</v>
      </c>
      <c r="F219" s="23">
        <v>0.19</v>
      </c>
      <c r="G219" s="23">
        <v>0</v>
      </c>
      <c r="H219" s="23">
        <f>F219*AO219</f>
        <v>0</v>
      </c>
      <c r="I219" s="23">
        <f>F219*AP219</f>
        <v>0</v>
      </c>
      <c r="J219" s="23">
        <f>F219*G219</f>
        <v>0</v>
      </c>
      <c r="K219" s="23">
        <v>0</v>
      </c>
      <c r="L219" s="24">
        <v>0</v>
      </c>
      <c r="Z219" s="23">
        <f>IF(AQ219="5",BJ219,0)</f>
        <v>0</v>
      </c>
      <c r="AB219" s="23">
        <f>IF(AQ219="1",BH219,0)</f>
        <v>0</v>
      </c>
      <c r="AC219" s="23">
        <f>IF(AQ219="1",BI219,0)</f>
        <v>0</v>
      </c>
      <c r="AD219" s="23">
        <f>IF(AQ219="7",BH219,0)</f>
        <v>0</v>
      </c>
      <c r="AE219" s="23">
        <f>IF(AQ219="7",BI219,0)</f>
        <v>0</v>
      </c>
      <c r="AF219" s="23">
        <f>IF(AQ219="2",BH219,0)</f>
        <v>0</v>
      </c>
      <c r="AG219" s="23">
        <f>IF(AQ219="2",BI219,0)</f>
        <v>0</v>
      </c>
      <c r="AH219" s="23">
        <f>IF(AQ219="0",BJ219,0)</f>
        <v>0</v>
      </c>
      <c r="AI219" s="8" t="s">
        <v>53</v>
      </c>
      <c r="AJ219" s="23">
        <f>IF(AN219=0,J219,0)</f>
        <v>0</v>
      </c>
      <c r="AK219" s="23">
        <f>IF(AN219=12,J219,0)</f>
        <v>0</v>
      </c>
      <c r="AL219" s="23">
        <f>IF(AN219=21,J219,0)</f>
        <v>0</v>
      </c>
      <c r="AN219" s="23">
        <v>21</v>
      </c>
      <c r="AO219" s="23">
        <f>G219*0</f>
        <v>0</v>
      </c>
      <c r="AP219" s="23">
        <f>G219*(1-0)</f>
        <v>0</v>
      </c>
      <c r="AQ219" s="25" t="s">
        <v>80</v>
      </c>
      <c r="AV219" s="23">
        <f>AW219+AX219</f>
        <v>0</v>
      </c>
      <c r="AW219" s="23">
        <f>F219*AO219</f>
        <v>0</v>
      </c>
      <c r="AX219" s="23">
        <f>F219*AP219</f>
        <v>0</v>
      </c>
      <c r="AY219" s="25" t="s">
        <v>661</v>
      </c>
      <c r="AZ219" s="25" t="s">
        <v>565</v>
      </c>
      <c r="BA219" s="8" t="s">
        <v>62</v>
      </c>
      <c r="BC219" s="23">
        <f>AW219+AX219</f>
        <v>0</v>
      </c>
      <c r="BD219" s="23">
        <f>G219/(100-BE219)*100</f>
        <v>0</v>
      </c>
      <c r="BE219" s="23">
        <v>0</v>
      </c>
      <c r="BF219" s="23">
        <f>219</f>
        <v>219</v>
      </c>
      <c r="BH219" s="23">
        <f>F219*AO219</f>
        <v>0</v>
      </c>
      <c r="BI219" s="23">
        <f>F219*AP219</f>
        <v>0</v>
      </c>
      <c r="BJ219" s="23">
        <f>F219*G219</f>
        <v>0</v>
      </c>
      <c r="BK219" s="23"/>
      <c r="BL219" s="23"/>
      <c r="BW219" s="23">
        <v>21</v>
      </c>
    </row>
    <row r="220" spans="1:75" ht="13.5" customHeight="1" x14ac:dyDescent="0.25">
      <c r="A220" s="2" t="s">
        <v>662</v>
      </c>
      <c r="B220" s="3" t="s">
        <v>663</v>
      </c>
      <c r="C220" s="80" t="s">
        <v>664</v>
      </c>
      <c r="D220" s="75"/>
      <c r="E220" s="3" t="s">
        <v>627</v>
      </c>
      <c r="F220" s="23">
        <v>0.19</v>
      </c>
      <c r="G220" s="23">
        <v>0</v>
      </c>
      <c r="H220" s="23">
        <f>F220*AO220</f>
        <v>0</v>
      </c>
      <c r="I220" s="23">
        <f>F220*AP220</f>
        <v>0</v>
      </c>
      <c r="J220" s="23">
        <f>F220*G220</f>
        <v>0</v>
      </c>
      <c r="K220" s="23">
        <v>0</v>
      </c>
      <c r="L220" s="24">
        <v>0</v>
      </c>
      <c r="Z220" s="23">
        <f>IF(AQ220="5",BJ220,0)</f>
        <v>0</v>
      </c>
      <c r="AB220" s="23">
        <f>IF(AQ220="1",BH220,0)</f>
        <v>0</v>
      </c>
      <c r="AC220" s="23">
        <f>IF(AQ220="1",BI220,0)</f>
        <v>0</v>
      </c>
      <c r="AD220" s="23">
        <f>IF(AQ220="7",BH220,0)</f>
        <v>0</v>
      </c>
      <c r="AE220" s="23">
        <f>IF(AQ220="7",BI220,0)</f>
        <v>0</v>
      </c>
      <c r="AF220" s="23">
        <f>IF(AQ220="2",BH220,0)</f>
        <v>0</v>
      </c>
      <c r="AG220" s="23">
        <f>IF(AQ220="2",BI220,0)</f>
        <v>0</v>
      </c>
      <c r="AH220" s="23">
        <f>IF(AQ220="0",BJ220,0)</f>
        <v>0</v>
      </c>
      <c r="AI220" s="8" t="s">
        <v>53</v>
      </c>
      <c r="AJ220" s="23">
        <f>IF(AN220=0,J220,0)</f>
        <v>0</v>
      </c>
      <c r="AK220" s="23">
        <f>IF(AN220=12,J220,0)</f>
        <v>0</v>
      </c>
      <c r="AL220" s="23">
        <f>IF(AN220=21,J220,0)</f>
        <v>0</v>
      </c>
      <c r="AN220" s="23">
        <v>21</v>
      </c>
      <c r="AO220" s="23">
        <f>G220*0</f>
        <v>0</v>
      </c>
      <c r="AP220" s="23">
        <f>G220*(1-0)</f>
        <v>0</v>
      </c>
      <c r="AQ220" s="25" t="s">
        <v>80</v>
      </c>
      <c r="AV220" s="23">
        <f>AW220+AX220</f>
        <v>0</v>
      </c>
      <c r="AW220" s="23">
        <f>F220*AO220</f>
        <v>0</v>
      </c>
      <c r="AX220" s="23">
        <f>F220*AP220</f>
        <v>0</v>
      </c>
      <c r="AY220" s="25" t="s">
        <v>661</v>
      </c>
      <c r="AZ220" s="25" t="s">
        <v>565</v>
      </c>
      <c r="BA220" s="8" t="s">
        <v>62</v>
      </c>
      <c r="BC220" s="23">
        <f>AW220+AX220</f>
        <v>0</v>
      </c>
      <c r="BD220" s="23">
        <f>G220/(100-BE220)*100</f>
        <v>0</v>
      </c>
      <c r="BE220" s="23">
        <v>0</v>
      </c>
      <c r="BF220" s="23">
        <f>220</f>
        <v>220</v>
      </c>
      <c r="BH220" s="23">
        <f>F220*AO220</f>
        <v>0</v>
      </c>
      <c r="BI220" s="23">
        <f>F220*AP220</f>
        <v>0</v>
      </c>
      <c r="BJ220" s="23">
        <f>F220*G220</f>
        <v>0</v>
      </c>
      <c r="BK220" s="23"/>
      <c r="BL220" s="23"/>
      <c r="BW220" s="23">
        <v>21</v>
      </c>
    </row>
    <row r="221" spans="1:75" x14ac:dyDescent="0.25">
      <c r="A221" s="26" t="s">
        <v>53</v>
      </c>
      <c r="B221" s="27" t="s">
        <v>665</v>
      </c>
      <c r="C221" s="98" t="s">
        <v>280</v>
      </c>
      <c r="D221" s="99"/>
      <c r="E221" s="28" t="s">
        <v>10</v>
      </c>
      <c r="F221" s="28" t="s">
        <v>10</v>
      </c>
      <c r="G221" s="28" t="s">
        <v>10</v>
      </c>
      <c r="H221" s="1">
        <f>SUM(H222:H223)</f>
        <v>0</v>
      </c>
      <c r="I221" s="1">
        <f>SUM(I222:I223)</f>
        <v>0</v>
      </c>
      <c r="J221" s="1">
        <f>SUM(J222:J223)</f>
        <v>0</v>
      </c>
      <c r="K221" s="8" t="s">
        <v>53</v>
      </c>
      <c r="L221" s="29" t="s">
        <v>53</v>
      </c>
      <c r="AI221" s="8" t="s">
        <v>53</v>
      </c>
      <c r="AS221" s="1">
        <f>SUM(AJ222:AJ223)</f>
        <v>0</v>
      </c>
      <c r="AT221" s="1">
        <f>SUM(AK222:AK223)</f>
        <v>0</v>
      </c>
      <c r="AU221" s="1">
        <f>SUM(AL222:AL223)</f>
        <v>0</v>
      </c>
    </row>
    <row r="222" spans="1:75" ht="13.5" customHeight="1" x14ac:dyDescent="0.25">
      <c r="A222" s="2" t="s">
        <v>666</v>
      </c>
      <c r="B222" s="3" t="s">
        <v>667</v>
      </c>
      <c r="C222" s="80" t="s">
        <v>668</v>
      </c>
      <c r="D222" s="75"/>
      <c r="E222" s="3" t="s">
        <v>627</v>
      </c>
      <c r="F222" s="23">
        <v>1.41</v>
      </c>
      <c r="G222" s="23">
        <v>0</v>
      </c>
      <c r="H222" s="23">
        <f>F222*AO222</f>
        <v>0</v>
      </c>
      <c r="I222" s="23">
        <f>F222*AP222</f>
        <v>0</v>
      </c>
      <c r="J222" s="23">
        <f>F222*G222</f>
        <v>0</v>
      </c>
      <c r="K222" s="23">
        <v>0</v>
      </c>
      <c r="L222" s="24">
        <v>0</v>
      </c>
      <c r="Z222" s="23">
        <f>IF(AQ222="5",BJ222,0)</f>
        <v>0</v>
      </c>
      <c r="AB222" s="23">
        <f>IF(AQ222="1",BH222,0)</f>
        <v>0</v>
      </c>
      <c r="AC222" s="23">
        <f>IF(AQ222="1",BI222,0)</f>
        <v>0</v>
      </c>
      <c r="AD222" s="23">
        <f>IF(AQ222="7",BH222,0)</f>
        <v>0</v>
      </c>
      <c r="AE222" s="23">
        <f>IF(AQ222="7",BI222,0)</f>
        <v>0</v>
      </c>
      <c r="AF222" s="23">
        <f>IF(AQ222="2",BH222,0)</f>
        <v>0</v>
      </c>
      <c r="AG222" s="23">
        <f>IF(AQ222="2",BI222,0)</f>
        <v>0</v>
      </c>
      <c r="AH222" s="23">
        <f>IF(AQ222="0",BJ222,0)</f>
        <v>0</v>
      </c>
      <c r="AI222" s="8" t="s">
        <v>53</v>
      </c>
      <c r="AJ222" s="23">
        <f>IF(AN222=0,J222,0)</f>
        <v>0</v>
      </c>
      <c r="AK222" s="23">
        <f>IF(AN222=12,J222,0)</f>
        <v>0</v>
      </c>
      <c r="AL222" s="23">
        <f>IF(AN222=21,J222,0)</f>
        <v>0</v>
      </c>
      <c r="AN222" s="23">
        <v>21</v>
      </c>
      <c r="AO222" s="23">
        <f>G222*0</f>
        <v>0</v>
      </c>
      <c r="AP222" s="23">
        <f>G222*(1-0)</f>
        <v>0</v>
      </c>
      <c r="AQ222" s="25" t="s">
        <v>80</v>
      </c>
      <c r="AV222" s="23">
        <f>AW222+AX222</f>
        <v>0</v>
      </c>
      <c r="AW222" s="23">
        <f>F222*AO222</f>
        <v>0</v>
      </c>
      <c r="AX222" s="23">
        <f>F222*AP222</f>
        <v>0</v>
      </c>
      <c r="AY222" s="25" t="s">
        <v>669</v>
      </c>
      <c r="AZ222" s="25" t="s">
        <v>565</v>
      </c>
      <c r="BA222" s="8" t="s">
        <v>62</v>
      </c>
      <c r="BC222" s="23">
        <f>AW222+AX222</f>
        <v>0</v>
      </c>
      <c r="BD222" s="23">
        <f>G222/(100-BE222)*100</f>
        <v>0</v>
      </c>
      <c r="BE222" s="23">
        <v>0</v>
      </c>
      <c r="BF222" s="23">
        <f>222</f>
        <v>222</v>
      </c>
      <c r="BH222" s="23">
        <f>F222*AO222</f>
        <v>0</v>
      </c>
      <c r="BI222" s="23">
        <f>F222*AP222</f>
        <v>0</v>
      </c>
      <c r="BJ222" s="23">
        <f>F222*G222</f>
        <v>0</v>
      </c>
      <c r="BK222" s="23"/>
      <c r="BL222" s="23"/>
      <c r="BW222" s="23">
        <v>21</v>
      </c>
    </row>
    <row r="223" spans="1:75" ht="13.5" customHeight="1" x14ac:dyDescent="0.25">
      <c r="A223" s="2" t="s">
        <v>670</v>
      </c>
      <c r="B223" s="3" t="s">
        <v>671</v>
      </c>
      <c r="C223" s="80" t="s">
        <v>672</v>
      </c>
      <c r="D223" s="75"/>
      <c r="E223" s="3" t="s">
        <v>627</v>
      </c>
      <c r="F223" s="23">
        <v>1.41</v>
      </c>
      <c r="G223" s="23">
        <v>0</v>
      </c>
      <c r="H223" s="23">
        <f>F223*AO223</f>
        <v>0</v>
      </c>
      <c r="I223" s="23">
        <f>F223*AP223</f>
        <v>0</v>
      </c>
      <c r="J223" s="23">
        <f>F223*G223</f>
        <v>0</v>
      </c>
      <c r="K223" s="23">
        <v>0</v>
      </c>
      <c r="L223" s="24">
        <v>0</v>
      </c>
      <c r="Z223" s="23">
        <f>IF(AQ223="5",BJ223,0)</f>
        <v>0</v>
      </c>
      <c r="AB223" s="23">
        <f>IF(AQ223="1",BH223,0)</f>
        <v>0</v>
      </c>
      <c r="AC223" s="23">
        <f>IF(AQ223="1",BI223,0)</f>
        <v>0</v>
      </c>
      <c r="AD223" s="23">
        <f>IF(AQ223="7",BH223,0)</f>
        <v>0</v>
      </c>
      <c r="AE223" s="23">
        <f>IF(AQ223="7",BI223,0)</f>
        <v>0</v>
      </c>
      <c r="AF223" s="23">
        <f>IF(AQ223="2",BH223,0)</f>
        <v>0</v>
      </c>
      <c r="AG223" s="23">
        <f>IF(AQ223="2",BI223,0)</f>
        <v>0</v>
      </c>
      <c r="AH223" s="23">
        <f>IF(AQ223="0",BJ223,0)</f>
        <v>0</v>
      </c>
      <c r="AI223" s="8" t="s">
        <v>53</v>
      </c>
      <c r="AJ223" s="23">
        <f>IF(AN223=0,J223,0)</f>
        <v>0</v>
      </c>
      <c r="AK223" s="23">
        <f>IF(AN223=12,J223,0)</f>
        <v>0</v>
      </c>
      <c r="AL223" s="23">
        <f>IF(AN223=21,J223,0)</f>
        <v>0</v>
      </c>
      <c r="AN223" s="23">
        <v>21</v>
      </c>
      <c r="AO223" s="23">
        <f>G223*0</f>
        <v>0</v>
      </c>
      <c r="AP223" s="23">
        <f>G223*(1-0)</f>
        <v>0</v>
      </c>
      <c r="AQ223" s="25" t="s">
        <v>80</v>
      </c>
      <c r="AV223" s="23">
        <f>AW223+AX223</f>
        <v>0</v>
      </c>
      <c r="AW223" s="23">
        <f>F223*AO223</f>
        <v>0</v>
      </c>
      <c r="AX223" s="23">
        <f>F223*AP223</f>
        <v>0</v>
      </c>
      <c r="AY223" s="25" t="s">
        <v>669</v>
      </c>
      <c r="AZ223" s="25" t="s">
        <v>565</v>
      </c>
      <c r="BA223" s="8" t="s">
        <v>62</v>
      </c>
      <c r="BC223" s="23">
        <f>AW223+AX223</f>
        <v>0</v>
      </c>
      <c r="BD223" s="23">
        <f>G223/(100-BE223)*100</f>
        <v>0</v>
      </c>
      <c r="BE223" s="23">
        <v>0</v>
      </c>
      <c r="BF223" s="23">
        <f>223</f>
        <v>223</v>
      </c>
      <c r="BH223" s="23">
        <f>F223*AO223</f>
        <v>0</v>
      </c>
      <c r="BI223" s="23">
        <f>F223*AP223</f>
        <v>0</v>
      </c>
      <c r="BJ223" s="23">
        <f>F223*G223</f>
        <v>0</v>
      </c>
      <c r="BK223" s="23"/>
      <c r="BL223" s="23"/>
      <c r="BW223" s="23">
        <v>21</v>
      </c>
    </row>
    <row r="224" spans="1:75" x14ac:dyDescent="0.25">
      <c r="A224" s="26" t="s">
        <v>53</v>
      </c>
      <c r="B224" s="27" t="s">
        <v>673</v>
      </c>
      <c r="C224" s="98" t="s">
        <v>305</v>
      </c>
      <c r="D224" s="99"/>
      <c r="E224" s="28" t="s">
        <v>10</v>
      </c>
      <c r="F224" s="28" t="s">
        <v>10</v>
      </c>
      <c r="G224" s="28" t="s">
        <v>10</v>
      </c>
      <c r="H224" s="1">
        <f>SUM(H225:H226)</f>
        <v>0</v>
      </c>
      <c r="I224" s="1">
        <f>SUM(I225:I226)</f>
        <v>0</v>
      </c>
      <c r="J224" s="1">
        <f>SUM(J225:J226)</f>
        <v>0</v>
      </c>
      <c r="K224" s="8" t="s">
        <v>53</v>
      </c>
      <c r="L224" s="29" t="s">
        <v>53</v>
      </c>
      <c r="AI224" s="8" t="s">
        <v>53</v>
      </c>
      <c r="AS224" s="1">
        <f>SUM(AJ225:AJ226)</f>
        <v>0</v>
      </c>
      <c r="AT224" s="1">
        <f>SUM(AK225:AK226)</f>
        <v>0</v>
      </c>
      <c r="AU224" s="1">
        <f>SUM(AL225:AL226)</f>
        <v>0</v>
      </c>
    </row>
    <row r="225" spans="1:75" ht="13.5" customHeight="1" x14ac:dyDescent="0.25">
      <c r="A225" s="2" t="s">
        <v>674</v>
      </c>
      <c r="B225" s="3" t="s">
        <v>675</v>
      </c>
      <c r="C225" s="80" t="s">
        <v>676</v>
      </c>
      <c r="D225" s="75"/>
      <c r="E225" s="3" t="s">
        <v>627</v>
      </c>
      <c r="F225" s="23">
        <v>0.6</v>
      </c>
      <c r="G225" s="23">
        <v>0</v>
      </c>
      <c r="H225" s="23">
        <f>F225*AO225</f>
        <v>0</v>
      </c>
      <c r="I225" s="23">
        <f>F225*AP225</f>
        <v>0</v>
      </c>
      <c r="J225" s="23">
        <f>F225*G225</f>
        <v>0</v>
      </c>
      <c r="K225" s="23">
        <v>0</v>
      </c>
      <c r="L225" s="24">
        <v>0</v>
      </c>
      <c r="Z225" s="23">
        <f>IF(AQ225="5",BJ225,0)</f>
        <v>0</v>
      </c>
      <c r="AB225" s="23">
        <f>IF(AQ225="1",BH225,0)</f>
        <v>0</v>
      </c>
      <c r="AC225" s="23">
        <f>IF(AQ225="1",BI225,0)</f>
        <v>0</v>
      </c>
      <c r="AD225" s="23">
        <f>IF(AQ225="7",BH225,0)</f>
        <v>0</v>
      </c>
      <c r="AE225" s="23">
        <f>IF(AQ225="7",BI225,0)</f>
        <v>0</v>
      </c>
      <c r="AF225" s="23">
        <f>IF(AQ225="2",BH225,0)</f>
        <v>0</v>
      </c>
      <c r="AG225" s="23">
        <f>IF(AQ225="2",BI225,0)</f>
        <v>0</v>
      </c>
      <c r="AH225" s="23">
        <f>IF(AQ225="0",BJ225,0)</f>
        <v>0</v>
      </c>
      <c r="AI225" s="8" t="s">
        <v>53</v>
      </c>
      <c r="AJ225" s="23">
        <f>IF(AN225=0,J225,0)</f>
        <v>0</v>
      </c>
      <c r="AK225" s="23">
        <f>IF(AN225=12,J225,0)</f>
        <v>0</v>
      </c>
      <c r="AL225" s="23">
        <f>IF(AN225=21,J225,0)</f>
        <v>0</v>
      </c>
      <c r="AN225" s="23">
        <v>21</v>
      </c>
      <c r="AO225" s="23">
        <f>G225*0</f>
        <v>0</v>
      </c>
      <c r="AP225" s="23">
        <f>G225*(1-0)</f>
        <v>0</v>
      </c>
      <c r="AQ225" s="25" t="s">
        <v>80</v>
      </c>
      <c r="AV225" s="23">
        <f>AW225+AX225</f>
        <v>0</v>
      </c>
      <c r="AW225" s="23">
        <f>F225*AO225</f>
        <v>0</v>
      </c>
      <c r="AX225" s="23">
        <f>F225*AP225</f>
        <v>0</v>
      </c>
      <c r="AY225" s="25" t="s">
        <v>677</v>
      </c>
      <c r="AZ225" s="25" t="s">
        <v>565</v>
      </c>
      <c r="BA225" s="8" t="s">
        <v>62</v>
      </c>
      <c r="BC225" s="23">
        <f>AW225+AX225</f>
        <v>0</v>
      </c>
      <c r="BD225" s="23">
        <f>G225/(100-BE225)*100</f>
        <v>0</v>
      </c>
      <c r="BE225" s="23">
        <v>0</v>
      </c>
      <c r="BF225" s="23">
        <f>225</f>
        <v>225</v>
      </c>
      <c r="BH225" s="23">
        <f>F225*AO225</f>
        <v>0</v>
      </c>
      <c r="BI225" s="23">
        <f>F225*AP225</f>
        <v>0</v>
      </c>
      <c r="BJ225" s="23">
        <f>F225*G225</f>
        <v>0</v>
      </c>
      <c r="BK225" s="23"/>
      <c r="BL225" s="23"/>
      <c r="BW225" s="23">
        <v>21</v>
      </c>
    </row>
    <row r="226" spans="1:75" ht="13.5" customHeight="1" x14ac:dyDescent="0.25">
      <c r="A226" s="2" t="s">
        <v>678</v>
      </c>
      <c r="B226" s="3" t="s">
        <v>679</v>
      </c>
      <c r="C226" s="80" t="s">
        <v>680</v>
      </c>
      <c r="D226" s="75"/>
      <c r="E226" s="3" t="s">
        <v>627</v>
      </c>
      <c r="F226" s="23">
        <v>0.6</v>
      </c>
      <c r="G226" s="23">
        <v>0</v>
      </c>
      <c r="H226" s="23">
        <f>F226*AO226</f>
        <v>0</v>
      </c>
      <c r="I226" s="23">
        <f>F226*AP226</f>
        <v>0</v>
      </c>
      <c r="J226" s="23">
        <f>F226*G226</f>
        <v>0</v>
      </c>
      <c r="K226" s="23">
        <v>0</v>
      </c>
      <c r="L226" s="24">
        <v>0</v>
      </c>
      <c r="Z226" s="23">
        <f>IF(AQ226="5",BJ226,0)</f>
        <v>0</v>
      </c>
      <c r="AB226" s="23">
        <f>IF(AQ226="1",BH226,0)</f>
        <v>0</v>
      </c>
      <c r="AC226" s="23">
        <f>IF(AQ226="1",BI226,0)</f>
        <v>0</v>
      </c>
      <c r="AD226" s="23">
        <f>IF(AQ226="7",BH226,0)</f>
        <v>0</v>
      </c>
      <c r="AE226" s="23">
        <f>IF(AQ226="7",BI226,0)</f>
        <v>0</v>
      </c>
      <c r="AF226" s="23">
        <f>IF(AQ226="2",BH226,0)</f>
        <v>0</v>
      </c>
      <c r="AG226" s="23">
        <f>IF(AQ226="2",BI226,0)</f>
        <v>0</v>
      </c>
      <c r="AH226" s="23">
        <f>IF(AQ226="0",BJ226,0)</f>
        <v>0</v>
      </c>
      <c r="AI226" s="8" t="s">
        <v>53</v>
      </c>
      <c r="AJ226" s="23">
        <f>IF(AN226=0,J226,0)</f>
        <v>0</v>
      </c>
      <c r="AK226" s="23">
        <f>IF(AN226=12,J226,0)</f>
        <v>0</v>
      </c>
      <c r="AL226" s="23">
        <f>IF(AN226=21,J226,0)</f>
        <v>0</v>
      </c>
      <c r="AN226" s="23">
        <v>21</v>
      </c>
      <c r="AO226" s="23">
        <f>G226*0</f>
        <v>0</v>
      </c>
      <c r="AP226" s="23">
        <f>G226*(1-0)</f>
        <v>0</v>
      </c>
      <c r="AQ226" s="25" t="s">
        <v>80</v>
      </c>
      <c r="AV226" s="23">
        <f>AW226+AX226</f>
        <v>0</v>
      </c>
      <c r="AW226" s="23">
        <f>F226*AO226</f>
        <v>0</v>
      </c>
      <c r="AX226" s="23">
        <f>F226*AP226</f>
        <v>0</v>
      </c>
      <c r="AY226" s="25" t="s">
        <v>677</v>
      </c>
      <c r="AZ226" s="25" t="s">
        <v>565</v>
      </c>
      <c r="BA226" s="8" t="s">
        <v>62</v>
      </c>
      <c r="BC226" s="23">
        <f>AW226+AX226</f>
        <v>0</v>
      </c>
      <c r="BD226" s="23">
        <f>G226/(100-BE226)*100</f>
        <v>0</v>
      </c>
      <c r="BE226" s="23">
        <v>0</v>
      </c>
      <c r="BF226" s="23">
        <f>226</f>
        <v>226</v>
      </c>
      <c r="BH226" s="23">
        <f>F226*AO226</f>
        <v>0</v>
      </c>
      <c r="BI226" s="23">
        <f>F226*AP226</f>
        <v>0</v>
      </c>
      <c r="BJ226" s="23">
        <f>F226*G226</f>
        <v>0</v>
      </c>
      <c r="BK226" s="23"/>
      <c r="BL226" s="23"/>
      <c r="BW226" s="23">
        <v>21</v>
      </c>
    </row>
    <row r="227" spans="1:75" x14ac:dyDescent="0.25">
      <c r="A227" s="26" t="s">
        <v>53</v>
      </c>
      <c r="B227" s="27" t="s">
        <v>681</v>
      </c>
      <c r="C227" s="98" t="s">
        <v>361</v>
      </c>
      <c r="D227" s="99"/>
      <c r="E227" s="28" t="s">
        <v>10</v>
      </c>
      <c r="F227" s="28" t="s">
        <v>10</v>
      </c>
      <c r="G227" s="28" t="s">
        <v>10</v>
      </c>
      <c r="H227" s="1">
        <f>SUM(H228:H229)</f>
        <v>0</v>
      </c>
      <c r="I227" s="1">
        <f>SUM(I228:I229)</f>
        <v>0</v>
      </c>
      <c r="J227" s="1">
        <f>SUM(J228:J229)</f>
        <v>0</v>
      </c>
      <c r="K227" s="8" t="s">
        <v>53</v>
      </c>
      <c r="L227" s="29" t="s">
        <v>53</v>
      </c>
      <c r="AI227" s="8" t="s">
        <v>53</v>
      </c>
      <c r="AS227" s="1">
        <f>SUM(AJ228:AJ229)</f>
        <v>0</v>
      </c>
      <c r="AT227" s="1">
        <f>SUM(AK228:AK229)</f>
        <v>0</v>
      </c>
      <c r="AU227" s="1">
        <f>SUM(AL228:AL229)</f>
        <v>0</v>
      </c>
    </row>
    <row r="228" spans="1:75" ht="13.5" customHeight="1" x14ac:dyDescent="0.25">
      <c r="A228" s="2" t="s">
        <v>682</v>
      </c>
      <c r="B228" s="3" t="s">
        <v>683</v>
      </c>
      <c r="C228" s="80" t="s">
        <v>684</v>
      </c>
      <c r="D228" s="75"/>
      <c r="E228" s="3" t="s">
        <v>627</v>
      </c>
      <c r="F228" s="23">
        <v>0.28000000000000003</v>
      </c>
      <c r="G228" s="23">
        <v>0</v>
      </c>
      <c r="H228" s="23">
        <f>F228*AO228</f>
        <v>0</v>
      </c>
      <c r="I228" s="23">
        <f>F228*AP228</f>
        <v>0</v>
      </c>
      <c r="J228" s="23">
        <f>F228*G228</f>
        <v>0</v>
      </c>
      <c r="K228" s="23">
        <v>0</v>
      </c>
      <c r="L228" s="24">
        <v>0</v>
      </c>
      <c r="Z228" s="23">
        <f>IF(AQ228="5",BJ228,0)</f>
        <v>0</v>
      </c>
      <c r="AB228" s="23">
        <f>IF(AQ228="1",BH228,0)</f>
        <v>0</v>
      </c>
      <c r="AC228" s="23">
        <f>IF(AQ228="1",BI228,0)</f>
        <v>0</v>
      </c>
      <c r="AD228" s="23">
        <f>IF(AQ228="7",BH228,0)</f>
        <v>0</v>
      </c>
      <c r="AE228" s="23">
        <f>IF(AQ228="7",BI228,0)</f>
        <v>0</v>
      </c>
      <c r="AF228" s="23">
        <f>IF(AQ228="2",BH228,0)</f>
        <v>0</v>
      </c>
      <c r="AG228" s="23">
        <f>IF(AQ228="2",BI228,0)</f>
        <v>0</v>
      </c>
      <c r="AH228" s="23">
        <f>IF(AQ228="0",BJ228,0)</f>
        <v>0</v>
      </c>
      <c r="AI228" s="8" t="s">
        <v>53</v>
      </c>
      <c r="AJ228" s="23">
        <f>IF(AN228=0,J228,0)</f>
        <v>0</v>
      </c>
      <c r="AK228" s="23">
        <f>IF(AN228=12,J228,0)</f>
        <v>0</v>
      </c>
      <c r="AL228" s="23">
        <f>IF(AN228=21,J228,0)</f>
        <v>0</v>
      </c>
      <c r="AN228" s="23">
        <v>21</v>
      </c>
      <c r="AO228" s="23">
        <f>G228*0</f>
        <v>0</v>
      </c>
      <c r="AP228" s="23">
        <f>G228*(1-0)</f>
        <v>0</v>
      </c>
      <c r="AQ228" s="25" t="s">
        <v>80</v>
      </c>
      <c r="AV228" s="23">
        <f>AW228+AX228</f>
        <v>0</v>
      </c>
      <c r="AW228" s="23">
        <f>F228*AO228</f>
        <v>0</v>
      </c>
      <c r="AX228" s="23">
        <f>F228*AP228</f>
        <v>0</v>
      </c>
      <c r="AY228" s="25" t="s">
        <v>685</v>
      </c>
      <c r="AZ228" s="25" t="s">
        <v>565</v>
      </c>
      <c r="BA228" s="8" t="s">
        <v>62</v>
      </c>
      <c r="BC228" s="23">
        <f>AW228+AX228</f>
        <v>0</v>
      </c>
      <c r="BD228" s="23">
        <f>G228/(100-BE228)*100</f>
        <v>0</v>
      </c>
      <c r="BE228" s="23">
        <v>0</v>
      </c>
      <c r="BF228" s="23">
        <f>228</f>
        <v>228</v>
      </c>
      <c r="BH228" s="23">
        <f>F228*AO228</f>
        <v>0</v>
      </c>
      <c r="BI228" s="23">
        <f>F228*AP228</f>
        <v>0</v>
      </c>
      <c r="BJ228" s="23">
        <f>F228*G228</f>
        <v>0</v>
      </c>
      <c r="BK228" s="23"/>
      <c r="BL228" s="23"/>
      <c r="BW228" s="23">
        <v>21</v>
      </c>
    </row>
    <row r="229" spans="1:75" ht="13.5" customHeight="1" x14ac:dyDescent="0.25">
      <c r="A229" s="2" t="s">
        <v>686</v>
      </c>
      <c r="B229" s="3" t="s">
        <v>687</v>
      </c>
      <c r="C229" s="80" t="s">
        <v>688</v>
      </c>
      <c r="D229" s="75"/>
      <c r="E229" s="3" t="s">
        <v>627</v>
      </c>
      <c r="F229" s="23">
        <v>0.28000000000000003</v>
      </c>
      <c r="G229" s="23">
        <v>0</v>
      </c>
      <c r="H229" s="23">
        <f>F229*AO229</f>
        <v>0</v>
      </c>
      <c r="I229" s="23">
        <f>F229*AP229</f>
        <v>0</v>
      </c>
      <c r="J229" s="23">
        <f>F229*G229</f>
        <v>0</v>
      </c>
      <c r="K229" s="23">
        <v>0</v>
      </c>
      <c r="L229" s="24">
        <v>0</v>
      </c>
      <c r="Z229" s="23">
        <f>IF(AQ229="5",BJ229,0)</f>
        <v>0</v>
      </c>
      <c r="AB229" s="23">
        <f>IF(AQ229="1",BH229,0)</f>
        <v>0</v>
      </c>
      <c r="AC229" s="23">
        <f>IF(AQ229="1",BI229,0)</f>
        <v>0</v>
      </c>
      <c r="AD229" s="23">
        <f>IF(AQ229="7",BH229,0)</f>
        <v>0</v>
      </c>
      <c r="AE229" s="23">
        <f>IF(AQ229="7",BI229,0)</f>
        <v>0</v>
      </c>
      <c r="AF229" s="23">
        <f>IF(AQ229="2",BH229,0)</f>
        <v>0</v>
      </c>
      <c r="AG229" s="23">
        <f>IF(AQ229="2",BI229,0)</f>
        <v>0</v>
      </c>
      <c r="AH229" s="23">
        <f>IF(AQ229="0",BJ229,0)</f>
        <v>0</v>
      </c>
      <c r="AI229" s="8" t="s">
        <v>53</v>
      </c>
      <c r="AJ229" s="23">
        <f>IF(AN229=0,J229,0)</f>
        <v>0</v>
      </c>
      <c r="AK229" s="23">
        <f>IF(AN229=12,J229,0)</f>
        <v>0</v>
      </c>
      <c r="AL229" s="23">
        <f>IF(AN229=21,J229,0)</f>
        <v>0</v>
      </c>
      <c r="AN229" s="23">
        <v>21</v>
      </c>
      <c r="AO229" s="23">
        <f>G229*0</f>
        <v>0</v>
      </c>
      <c r="AP229" s="23">
        <f>G229*(1-0)</f>
        <v>0</v>
      </c>
      <c r="AQ229" s="25" t="s">
        <v>80</v>
      </c>
      <c r="AV229" s="23">
        <f>AW229+AX229</f>
        <v>0</v>
      </c>
      <c r="AW229" s="23">
        <f>F229*AO229</f>
        <v>0</v>
      </c>
      <c r="AX229" s="23">
        <f>F229*AP229</f>
        <v>0</v>
      </c>
      <c r="AY229" s="25" t="s">
        <v>685</v>
      </c>
      <c r="AZ229" s="25" t="s">
        <v>565</v>
      </c>
      <c r="BA229" s="8" t="s">
        <v>62</v>
      </c>
      <c r="BC229" s="23">
        <f>AW229+AX229</f>
        <v>0</v>
      </c>
      <c r="BD229" s="23">
        <f>G229/(100-BE229)*100</f>
        <v>0</v>
      </c>
      <c r="BE229" s="23">
        <v>0</v>
      </c>
      <c r="BF229" s="23">
        <f>229</f>
        <v>229</v>
      </c>
      <c r="BH229" s="23">
        <f>F229*AO229</f>
        <v>0</v>
      </c>
      <c r="BI229" s="23">
        <f>F229*AP229</f>
        <v>0</v>
      </c>
      <c r="BJ229" s="23">
        <f>F229*G229</f>
        <v>0</v>
      </c>
      <c r="BK229" s="23"/>
      <c r="BL229" s="23"/>
      <c r="BW229" s="23">
        <v>21</v>
      </c>
    </row>
    <row r="230" spans="1:75" x14ac:dyDescent="0.25">
      <c r="A230" s="26" t="s">
        <v>53</v>
      </c>
      <c r="B230" s="27" t="s">
        <v>689</v>
      </c>
      <c r="C230" s="98" t="s">
        <v>388</v>
      </c>
      <c r="D230" s="99"/>
      <c r="E230" s="28" t="s">
        <v>10</v>
      </c>
      <c r="F230" s="28" t="s">
        <v>10</v>
      </c>
      <c r="G230" s="28" t="s">
        <v>10</v>
      </c>
      <c r="H230" s="1">
        <f>SUM(H231:H232)</f>
        <v>0</v>
      </c>
      <c r="I230" s="1">
        <f>SUM(I231:I232)</f>
        <v>0</v>
      </c>
      <c r="J230" s="1">
        <f>SUM(J231:J232)</f>
        <v>0</v>
      </c>
      <c r="K230" s="8" t="s">
        <v>53</v>
      </c>
      <c r="L230" s="29" t="s">
        <v>53</v>
      </c>
      <c r="AI230" s="8" t="s">
        <v>53</v>
      </c>
      <c r="AS230" s="1">
        <f>SUM(AJ231:AJ232)</f>
        <v>0</v>
      </c>
      <c r="AT230" s="1">
        <f>SUM(AK231:AK232)</f>
        <v>0</v>
      </c>
      <c r="AU230" s="1">
        <f>SUM(AL231:AL232)</f>
        <v>0</v>
      </c>
    </row>
    <row r="231" spans="1:75" ht="13.5" customHeight="1" x14ac:dyDescent="0.25">
      <c r="A231" s="2" t="s">
        <v>690</v>
      </c>
      <c r="B231" s="3" t="s">
        <v>691</v>
      </c>
      <c r="C231" s="80" t="s">
        <v>692</v>
      </c>
      <c r="D231" s="75"/>
      <c r="E231" s="3" t="s">
        <v>627</v>
      </c>
      <c r="F231" s="23">
        <v>0.31</v>
      </c>
      <c r="G231" s="23">
        <v>0</v>
      </c>
      <c r="H231" s="23">
        <f>F231*AO231</f>
        <v>0</v>
      </c>
      <c r="I231" s="23">
        <f>F231*AP231</f>
        <v>0</v>
      </c>
      <c r="J231" s="23">
        <f>F231*G231</f>
        <v>0</v>
      </c>
      <c r="K231" s="23">
        <v>0</v>
      </c>
      <c r="L231" s="24">
        <v>0</v>
      </c>
      <c r="Z231" s="23">
        <f>IF(AQ231="5",BJ231,0)</f>
        <v>0</v>
      </c>
      <c r="AB231" s="23">
        <f>IF(AQ231="1",BH231,0)</f>
        <v>0</v>
      </c>
      <c r="AC231" s="23">
        <f>IF(AQ231="1",BI231,0)</f>
        <v>0</v>
      </c>
      <c r="AD231" s="23">
        <f>IF(AQ231="7",BH231,0)</f>
        <v>0</v>
      </c>
      <c r="AE231" s="23">
        <f>IF(AQ231="7",BI231,0)</f>
        <v>0</v>
      </c>
      <c r="AF231" s="23">
        <f>IF(AQ231="2",BH231,0)</f>
        <v>0</v>
      </c>
      <c r="AG231" s="23">
        <f>IF(AQ231="2",BI231,0)</f>
        <v>0</v>
      </c>
      <c r="AH231" s="23">
        <f>IF(AQ231="0",BJ231,0)</f>
        <v>0</v>
      </c>
      <c r="AI231" s="8" t="s">
        <v>53</v>
      </c>
      <c r="AJ231" s="23">
        <f>IF(AN231=0,J231,0)</f>
        <v>0</v>
      </c>
      <c r="AK231" s="23">
        <f>IF(AN231=12,J231,0)</f>
        <v>0</v>
      </c>
      <c r="AL231" s="23">
        <f>IF(AN231=21,J231,0)</f>
        <v>0</v>
      </c>
      <c r="AN231" s="23">
        <v>21</v>
      </c>
      <c r="AO231" s="23">
        <f>G231*0</f>
        <v>0</v>
      </c>
      <c r="AP231" s="23">
        <f>G231*(1-0)</f>
        <v>0</v>
      </c>
      <c r="AQ231" s="25" t="s">
        <v>80</v>
      </c>
      <c r="AV231" s="23">
        <f>AW231+AX231</f>
        <v>0</v>
      </c>
      <c r="AW231" s="23">
        <f>F231*AO231</f>
        <v>0</v>
      </c>
      <c r="AX231" s="23">
        <f>F231*AP231</f>
        <v>0</v>
      </c>
      <c r="AY231" s="25" t="s">
        <v>693</v>
      </c>
      <c r="AZ231" s="25" t="s">
        <v>565</v>
      </c>
      <c r="BA231" s="8" t="s">
        <v>62</v>
      </c>
      <c r="BC231" s="23">
        <f>AW231+AX231</f>
        <v>0</v>
      </c>
      <c r="BD231" s="23">
        <f>G231/(100-BE231)*100</f>
        <v>0</v>
      </c>
      <c r="BE231" s="23">
        <v>0</v>
      </c>
      <c r="BF231" s="23">
        <f>231</f>
        <v>231</v>
      </c>
      <c r="BH231" s="23">
        <f>F231*AO231</f>
        <v>0</v>
      </c>
      <c r="BI231" s="23">
        <f>F231*AP231</f>
        <v>0</v>
      </c>
      <c r="BJ231" s="23">
        <f>F231*G231</f>
        <v>0</v>
      </c>
      <c r="BK231" s="23"/>
      <c r="BL231" s="23"/>
      <c r="BW231" s="23">
        <v>21</v>
      </c>
    </row>
    <row r="232" spans="1:75" ht="13.5" customHeight="1" x14ac:dyDescent="0.25">
      <c r="A232" s="2" t="s">
        <v>694</v>
      </c>
      <c r="B232" s="3" t="s">
        <v>695</v>
      </c>
      <c r="C232" s="80" t="s">
        <v>696</v>
      </c>
      <c r="D232" s="75"/>
      <c r="E232" s="3" t="s">
        <v>627</v>
      </c>
      <c r="F232" s="23">
        <v>0.31</v>
      </c>
      <c r="G232" s="23">
        <v>0</v>
      </c>
      <c r="H232" s="23">
        <f>F232*AO232</f>
        <v>0</v>
      </c>
      <c r="I232" s="23">
        <f>F232*AP232</f>
        <v>0</v>
      </c>
      <c r="J232" s="23">
        <f>F232*G232</f>
        <v>0</v>
      </c>
      <c r="K232" s="23">
        <v>0</v>
      </c>
      <c r="L232" s="24">
        <v>0</v>
      </c>
      <c r="Z232" s="23">
        <f>IF(AQ232="5",BJ232,0)</f>
        <v>0</v>
      </c>
      <c r="AB232" s="23">
        <f>IF(AQ232="1",BH232,0)</f>
        <v>0</v>
      </c>
      <c r="AC232" s="23">
        <f>IF(AQ232="1",BI232,0)</f>
        <v>0</v>
      </c>
      <c r="AD232" s="23">
        <f>IF(AQ232="7",BH232,0)</f>
        <v>0</v>
      </c>
      <c r="AE232" s="23">
        <f>IF(AQ232="7",BI232,0)</f>
        <v>0</v>
      </c>
      <c r="AF232" s="23">
        <f>IF(AQ232="2",BH232,0)</f>
        <v>0</v>
      </c>
      <c r="AG232" s="23">
        <f>IF(AQ232="2",BI232,0)</f>
        <v>0</v>
      </c>
      <c r="AH232" s="23">
        <f>IF(AQ232="0",BJ232,0)</f>
        <v>0</v>
      </c>
      <c r="AI232" s="8" t="s">
        <v>53</v>
      </c>
      <c r="AJ232" s="23">
        <f>IF(AN232=0,J232,0)</f>
        <v>0</v>
      </c>
      <c r="AK232" s="23">
        <f>IF(AN232=12,J232,0)</f>
        <v>0</v>
      </c>
      <c r="AL232" s="23">
        <f>IF(AN232=21,J232,0)</f>
        <v>0</v>
      </c>
      <c r="AN232" s="23">
        <v>21</v>
      </c>
      <c r="AO232" s="23">
        <f>G232*0</f>
        <v>0</v>
      </c>
      <c r="AP232" s="23">
        <f>G232*(1-0)</f>
        <v>0</v>
      </c>
      <c r="AQ232" s="25" t="s">
        <v>80</v>
      </c>
      <c r="AV232" s="23">
        <f>AW232+AX232</f>
        <v>0</v>
      </c>
      <c r="AW232" s="23">
        <f>F232*AO232</f>
        <v>0</v>
      </c>
      <c r="AX232" s="23">
        <f>F232*AP232</f>
        <v>0</v>
      </c>
      <c r="AY232" s="25" t="s">
        <v>693</v>
      </c>
      <c r="AZ232" s="25" t="s">
        <v>565</v>
      </c>
      <c r="BA232" s="8" t="s">
        <v>62</v>
      </c>
      <c r="BC232" s="23">
        <f>AW232+AX232</f>
        <v>0</v>
      </c>
      <c r="BD232" s="23">
        <f>G232/(100-BE232)*100</f>
        <v>0</v>
      </c>
      <c r="BE232" s="23">
        <v>0</v>
      </c>
      <c r="BF232" s="23">
        <f>232</f>
        <v>232</v>
      </c>
      <c r="BH232" s="23">
        <f>F232*AO232</f>
        <v>0</v>
      </c>
      <c r="BI232" s="23">
        <f>F232*AP232</f>
        <v>0</v>
      </c>
      <c r="BJ232" s="23">
        <f>F232*G232</f>
        <v>0</v>
      </c>
      <c r="BK232" s="23"/>
      <c r="BL232" s="23"/>
      <c r="BW232" s="23">
        <v>21</v>
      </c>
    </row>
    <row r="233" spans="1:75" x14ac:dyDescent="0.25">
      <c r="A233" s="26" t="s">
        <v>53</v>
      </c>
      <c r="B233" s="27" t="s">
        <v>697</v>
      </c>
      <c r="C233" s="98" t="s">
        <v>698</v>
      </c>
      <c r="D233" s="99"/>
      <c r="E233" s="28" t="s">
        <v>10</v>
      </c>
      <c r="F233" s="28" t="s">
        <v>10</v>
      </c>
      <c r="G233" s="28" t="s">
        <v>10</v>
      </c>
      <c r="H233" s="1">
        <f>SUM(H234:H235)</f>
        <v>0</v>
      </c>
      <c r="I233" s="1">
        <f>SUM(I234:I235)</f>
        <v>0</v>
      </c>
      <c r="J233" s="1">
        <f>SUM(J234:J235)</f>
        <v>0</v>
      </c>
      <c r="K233" s="8" t="s">
        <v>53</v>
      </c>
      <c r="L233" s="29" t="s">
        <v>53</v>
      </c>
      <c r="AI233" s="8" t="s">
        <v>53</v>
      </c>
      <c r="AS233" s="1">
        <f>SUM(AJ234:AJ235)</f>
        <v>0</v>
      </c>
      <c r="AT233" s="1">
        <f>SUM(AK234:AK235)</f>
        <v>0</v>
      </c>
      <c r="AU233" s="1">
        <f>SUM(AL234:AL235)</f>
        <v>0</v>
      </c>
    </row>
    <row r="234" spans="1:75" ht="13.5" customHeight="1" x14ac:dyDescent="0.25">
      <c r="A234" s="2" t="s">
        <v>699</v>
      </c>
      <c r="B234" s="3" t="s">
        <v>700</v>
      </c>
      <c r="C234" s="80" t="s">
        <v>701</v>
      </c>
      <c r="D234" s="75"/>
      <c r="E234" s="3" t="s">
        <v>627</v>
      </c>
      <c r="F234" s="23">
        <v>0.22</v>
      </c>
      <c r="G234" s="23">
        <v>0</v>
      </c>
      <c r="H234" s="23">
        <f>F234*AO234</f>
        <v>0</v>
      </c>
      <c r="I234" s="23">
        <f>F234*AP234</f>
        <v>0</v>
      </c>
      <c r="J234" s="23">
        <f>F234*G234</f>
        <v>0</v>
      </c>
      <c r="K234" s="23">
        <v>0</v>
      </c>
      <c r="L234" s="24">
        <v>0</v>
      </c>
      <c r="Z234" s="23">
        <f>IF(AQ234="5",BJ234,0)</f>
        <v>0</v>
      </c>
      <c r="AB234" s="23">
        <f>IF(AQ234="1",BH234,0)</f>
        <v>0</v>
      </c>
      <c r="AC234" s="23">
        <f>IF(AQ234="1",BI234,0)</f>
        <v>0</v>
      </c>
      <c r="AD234" s="23">
        <f>IF(AQ234="7",BH234,0)</f>
        <v>0</v>
      </c>
      <c r="AE234" s="23">
        <f>IF(AQ234="7",BI234,0)</f>
        <v>0</v>
      </c>
      <c r="AF234" s="23">
        <f>IF(AQ234="2",BH234,0)</f>
        <v>0</v>
      </c>
      <c r="AG234" s="23">
        <f>IF(AQ234="2",BI234,0)</f>
        <v>0</v>
      </c>
      <c r="AH234" s="23">
        <f>IF(AQ234="0",BJ234,0)</f>
        <v>0</v>
      </c>
      <c r="AI234" s="8" t="s">
        <v>53</v>
      </c>
      <c r="AJ234" s="23">
        <f>IF(AN234=0,J234,0)</f>
        <v>0</v>
      </c>
      <c r="AK234" s="23">
        <f>IF(AN234=12,J234,0)</f>
        <v>0</v>
      </c>
      <c r="AL234" s="23">
        <f>IF(AN234=21,J234,0)</f>
        <v>0</v>
      </c>
      <c r="AN234" s="23">
        <v>21</v>
      </c>
      <c r="AO234" s="23">
        <f>G234*0</f>
        <v>0</v>
      </c>
      <c r="AP234" s="23">
        <f>G234*(1-0)</f>
        <v>0</v>
      </c>
      <c r="AQ234" s="25" t="s">
        <v>80</v>
      </c>
      <c r="AV234" s="23">
        <f>AW234+AX234</f>
        <v>0</v>
      </c>
      <c r="AW234" s="23">
        <f>F234*AO234</f>
        <v>0</v>
      </c>
      <c r="AX234" s="23">
        <f>F234*AP234</f>
        <v>0</v>
      </c>
      <c r="AY234" s="25" t="s">
        <v>702</v>
      </c>
      <c r="AZ234" s="25" t="s">
        <v>565</v>
      </c>
      <c r="BA234" s="8" t="s">
        <v>62</v>
      </c>
      <c r="BC234" s="23">
        <f>AW234+AX234</f>
        <v>0</v>
      </c>
      <c r="BD234" s="23">
        <f>G234/(100-BE234)*100</f>
        <v>0</v>
      </c>
      <c r="BE234" s="23">
        <v>0</v>
      </c>
      <c r="BF234" s="23">
        <f>234</f>
        <v>234</v>
      </c>
      <c r="BH234" s="23">
        <f>F234*AO234</f>
        <v>0</v>
      </c>
      <c r="BI234" s="23">
        <f>F234*AP234</f>
        <v>0</v>
      </c>
      <c r="BJ234" s="23">
        <f>F234*G234</f>
        <v>0</v>
      </c>
      <c r="BK234" s="23"/>
      <c r="BL234" s="23"/>
      <c r="BW234" s="23">
        <v>21</v>
      </c>
    </row>
    <row r="235" spans="1:75" ht="13.5" customHeight="1" x14ac:dyDescent="0.25">
      <c r="A235" s="2" t="s">
        <v>703</v>
      </c>
      <c r="B235" s="3" t="s">
        <v>704</v>
      </c>
      <c r="C235" s="80" t="s">
        <v>705</v>
      </c>
      <c r="D235" s="75"/>
      <c r="E235" s="3" t="s">
        <v>627</v>
      </c>
      <c r="F235" s="23">
        <v>0.22</v>
      </c>
      <c r="G235" s="23">
        <v>0</v>
      </c>
      <c r="H235" s="23">
        <f>F235*AO235</f>
        <v>0</v>
      </c>
      <c r="I235" s="23">
        <f>F235*AP235</f>
        <v>0</v>
      </c>
      <c r="J235" s="23">
        <f>F235*G235</f>
        <v>0</v>
      </c>
      <c r="K235" s="23">
        <v>0</v>
      </c>
      <c r="L235" s="24">
        <v>0</v>
      </c>
      <c r="Z235" s="23">
        <f>IF(AQ235="5",BJ235,0)</f>
        <v>0</v>
      </c>
      <c r="AB235" s="23">
        <f>IF(AQ235="1",BH235,0)</f>
        <v>0</v>
      </c>
      <c r="AC235" s="23">
        <f>IF(AQ235="1",BI235,0)</f>
        <v>0</v>
      </c>
      <c r="AD235" s="23">
        <f>IF(AQ235="7",BH235,0)</f>
        <v>0</v>
      </c>
      <c r="AE235" s="23">
        <f>IF(AQ235="7",BI235,0)</f>
        <v>0</v>
      </c>
      <c r="AF235" s="23">
        <f>IF(AQ235="2",BH235,0)</f>
        <v>0</v>
      </c>
      <c r="AG235" s="23">
        <f>IF(AQ235="2",BI235,0)</f>
        <v>0</v>
      </c>
      <c r="AH235" s="23">
        <f>IF(AQ235="0",BJ235,0)</f>
        <v>0</v>
      </c>
      <c r="AI235" s="8" t="s">
        <v>53</v>
      </c>
      <c r="AJ235" s="23">
        <f>IF(AN235=0,J235,0)</f>
        <v>0</v>
      </c>
      <c r="AK235" s="23">
        <f>IF(AN235=12,J235,0)</f>
        <v>0</v>
      </c>
      <c r="AL235" s="23">
        <f>IF(AN235=21,J235,0)</f>
        <v>0</v>
      </c>
      <c r="AN235" s="23">
        <v>21</v>
      </c>
      <c r="AO235" s="23">
        <f>G235*0</f>
        <v>0</v>
      </c>
      <c r="AP235" s="23">
        <f>G235*(1-0)</f>
        <v>0</v>
      </c>
      <c r="AQ235" s="25" t="s">
        <v>80</v>
      </c>
      <c r="AV235" s="23">
        <f>AW235+AX235</f>
        <v>0</v>
      </c>
      <c r="AW235" s="23">
        <f>F235*AO235</f>
        <v>0</v>
      </c>
      <c r="AX235" s="23">
        <f>F235*AP235</f>
        <v>0</v>
      </c>
      <c r="AY235" s="25" t="s">
        <v>702</v>
      </c>
      <c r="AZ235" s="25" t="s">
        <v>565</v>
      </c>
      <c r="BA235" s="8" t="s">
        <v>62</v>
      </c>
      <c r="BC235" s="23">
        <f>AW235+AX235</f>
        <v>0</v>
      </c>
      <c r="BD235" s="23">
        <f>G235/(100-BE235)*100</f>
        <v>0</v>
      </c>
      <c r="BE235" s="23">
        <v>0</v>
      </c>
      <c r="BF235" s="23">
        <f>235</f>
        <v>235</v>
      </c>
      <c r="BH235" s="23">
        <f>F235*AO235</f>
        <v>0</v>
      </c>
      <c r="BI235" s="23">
        <f>F235*AP235</f>
        <v>0</v>
      </c>
      <c r="BJ235" s="23">
        <f>F235*G235</f>
        <v>0</v>
      </c>
      <c r="BK235" s="23"/>
      <c r="BL235" s="23"/>
      <c r="BW235" s="23">
        <v>21</v>
      </c>
    </row>
    <row r="236" spans="1:75" x14ac:dyDescent="0.25">
      <c r="A236" s="26" t="s">
        <v>53</v>
      </c>
      <c r="B236" s="27" t="s">
        <v>706</v>
      </c>
      <c r="C236" s="98" t="s">
        <v>707</v>
      </c>
      <c r="D236" s="99"/>
      <c r="E236" s="28" t="s">
        <v>10</v>
      </c>
      <c r="F236" s="28" t="s">
        <v>10</v>
      </c>
      <c r="G236" s="28" t="s">
        <v>10</v>
      </c>
      <c r="H236" s="1">
        <f>SUM(H237:H239)</f>
        <v>0</v>
      </c>
      <c r="I236" s="1">
        <f>SUM(I237:I239)</f>
        <v>0</v>
      </c>
      <c r="J236" s="1">
        <f>SUM(J237:J239)</f>
        <v>0</v>
      </c>
      <c r="K236" s="8" t="s">
        <v>53</v>
      </c>
      <c r="L236" s="29" t="s">
        <v>53</v>
      </c>
      <c r="AI236" s="8" t="s">
        <v>53</v>
      </c>
      <c r="AS236" s="1">
        <f>SUM(AJ237:AJ239)</f>
        <v>0</v>
      </c>
      <c r="AT236" s="1">
        <f>SUM(AK237:AK239)</f>
        <v>0</v>
      </c>
      <c r="AU236" s="1">
        <f>SUM(AL237:AL239)</f>
        <v>0</v>
      </c>
    </row>
    <row r="237" spans="1:75" ht="13.5" customHeight="1" x14ac:dyDescent="0.25">
      <c r="A237" s="2" t="s">
        <v>708</v>
      </c>
      <c r="B237" s="3" t="s">
        <v>709</v>
      </c>
      <c r="C237" s="80" t="s">
        <v>710</v>
      </c>
      <c r="D237" s="75"/>
      <c r="E237" s="3" t="s">
        <v>711</v>
      </c>
      <c r="F237" s="23">
        <v>16</v>
      </c>
      <c r="G237" s="23">
        <v>0</v>
      </c>
      <c r="H237" s="23">
        <f>F237*AO237</f>
        <v>0</v>
      </c>
      <c r="I237" s="23">
        <f>F237*AP237</f>
        <v>0</v>
      </c>
      <c r="J237" s="23">
        <f>F237*G237</f>
        <v>0</v>
      </c>
      <c r="K237" s="23">
        <v>0</v>
      </c>
      <c r="L237" s="24">
        <v>0</v>
      </c>
      <c r="Z237" s="23">
        <f>IF(AQ237="5",BJ237,0)</f>
        <v>0</v>
      </c>
      <c r="AB237" s="23">
        <f>IF(AQ237="1",BH237,0)</f>
        <v>0</v>
      </c>
      <c r="AC237" s="23">
        <f>IF(AQ237="1",BI237,0)</f>
        <v>0</v>
      </c>
      <c r="AD237" s="23">
        <f>IF(AQ237="7",BH237,0)</f>
        <v>0</v>
      </c>
      <c r="AE237" s="23">
        <f>IF(AQ237="7",BI237,0)</f>
        <v>0</v>
      </c>
      <c r="AF237" s="23">
        <f>IF(AQ237="2",BH237,0)</f>
        <v>0</v>
      </c>
      <c r="AG237" s="23">
        <f>IF(AQ237="2",BI237,0)</f>
        <v>0</v>
      </c>
      <c r="AH237" s="23">
        <f>IF(AQ237="0",BJ237,0)</f>
        <v>0</v>
      </c>
      <c r="AI237" s="8" t="s">
        <v>53</v>
      </c>
      <c r="AJ237" s="23">
        <f>IF(AN237=0,J237,0)</f>
        <v>0</v>
      </c>
      <c r="AK237" s="23">
        <f>IF(AN237=12,J237,0)</f>
        <v>0</v>
      </c>
      <c r="AL237" s="23">
        <f>IF(AN237=21,J237,0)</f>
        <v>0</v>
      </c>
      <c r="AN237" s="23">
        <v>21</v>
      </c>
      <c r="AO237" s="23">
        <f>G237*0</f>
        <v>0</v>
      </c>
      <c r="AP237" s="23">
        <f>G237*(1-0)</f>
        <v>0</v>
      </c>
      <c r="AQ237" s="25" t="s">
        <v>80</v>
      </c>
      <c r="AV237" s="23">
        <f>AW237+AX237</f>
        <v>0</v>
      </c>
      <c r="AW237" s="23">
        <f>F237*AO237</f>
        <v>0</v>
      </c>
      <c r="AX237" s="23">
        <f>F237*AP237</f>
        <v>0</v>
      </c>
      <c r="AY237" s="25" t="s">
        <v>712</v>
      </c>
      <c r="AZ237" s="25" t="s">
        <v>565</v>
      </c>
      <c r="BA237" s="8" t="s">
        <v>62</v>
      </c>
      <c r="BC237" s="23">
        <f>AW237+AX237</f>
        <v>0</v>
      </c>
      <c r="BD237" s="23">
        <f>G237/(100-BE237)*100</f>
        <v>0</v>
      </c>
      <c r="BE237" s="23">
        <v>0</v>
      </c>
      <c r="BF237" s="23">
        <f>237</f>
        <v>237</v>
      </c>
      <c r="BH237" s="23">
        <f>F237*AO237</f>
        <v>0</v>
      </c>
      <c r="BI237" s="23">
        <f>F237*AP237</f>
        <v>0</v>
      </c>
      <c r="BJ237" s="23">
        <f>F237*G237</f>
        <v>0</v>
      </c>
      <c r="BK237" s="23"/>
      <c r="BL237" s="23"/>
      <c r="BW237" s="23">
        <v>21</v>
      </c>
    </row>
    <row r="238" spans="1:75" ht="13.5" customHeight="1" x14ac:dyDescent="0.25">
      <c r="A238" s="2" t="s">
        <v>713</v>
      </c>
      <c r="B238" s="3" t="s">
        <v>714</v>
      </c>
      <c r="C238" s="80" t="s">
        <v>715</v>
      </c>
      <c r="D238" s="75"/>
      <c r="E238" s="3" t="s">
        <v>716</v>
      </c>
      <c r="F238" s="23">
        <v>10</v>
      </c>
      <c r="G238" s="23">
        <v>0</v>
      </c>
      <c r="H238" s="23">
        <f>F238*AO238</f>
        <v>0</v>
      </c>
      <c r="I238" s="23">
        <f>F238*AP238</f>
        <v>0</v>
      </c>
      <c r="J238" s="23">
        <f>F238*G238</f>
        <v>0</v>
      </c>
      <c r="K238" s="23">
        <v>0</v>
      </c>
      <c r="L238" s="24">
        <v>0</v>
      </c>
      <c r="Z238" s="23">
        <f>IF(AQ238="5",BJ238,0)</f>
        <v>0</v>
      </c>
      <c r="AB238" s="23">
        <f>IF(AQ238="1",BH238,0)</f>
        <v>0</v>
      </c>
      <c r="AC238" s="23">
        <f>IF(AQ238="1",BI238,0)</f>
        <v>0</v>
      </c>
      <c r="AD238" s="23">
        <f>IF(AQ238="7",BH238,0)</f>
        <v>0</v>
      </c>
      <c r="AE238" s="23">
        <f>IF(AQ238="7",BI238,0)</f>
        <v>0</v>
      </c>
      <c r="AF238" s="23">
        <f>IF(AQ238="2",BH238,0)</f>
        <v>0</v>
      </c>
      <c r="AG238" s="23">
        <f>IF(AQ238="2",BI238,0)</f>
        <v>0</v>
      </c>
      <c r="AH238" s="23">
        <f>IF(AQ238="0",BJ238,0)</f>
        <v>0</v>
      </c>
      <c r="AI238" s="8" t="s">
        <v>53</v>
      </c>
      <c r="AJ238" s="23">
        <f>IF(AN238=0,J238,0)</f>
        <v>0</v>
      </c>
      <c r="AK238" s="23">
        <f>IF(AN238=12,J238,0)</f>
        <v>0</v>
      </c>
      <c r="AL238" s="23">
        <f>IF(AN238=21,J238,0)</f>
        <v>0</v>
      </c>
      <c r="AN238" s="23">
        <v>21</v>
      </c>
      <c r="AO238" s="23">
        <f>G238*0</f>
        <v>0</v>
      </c>
      <c r="AP238" s="23">
        <f>G238*(1-0)</f>
        <v>0</v>
      </c>
      <c r="AQ238" s="25" t="s">
        <v>80</v>
      </c>
      <c r="AV238" s="23">
        <f>AW238+AX238</f>
        <v>0</v>
      </c>
      <c r="AW238" s="23">
        <f>F238*AO238</f>
        <v>0</v>
      </c>
      <c r="AX238" s="23">
        <f>F238*AP238</f>
        <v>0</v>
      </c>
      <c r="AY238" s="25" t="s">
        <v>712</v>
      </c>
      <c r="AZ238" s="25" t="s">
        <v>565</v>
      </c>
      <c r="BA238" s="8" t="s">
        <v>62</v>
      </c>
      <c r="BC238" s="23">
        <f>AW238+AX238</f>
        <v>0</v>
      </c>
      <c r="BD238" s="23">
        <f>G238/(100-BE238)*100</f>
        <v>0</v>
      </c>
      <c r="BE238" s="23">
        <v>0</v>
      </c>
      <c r="BF238" s="23">
        <f>238</f>
        <v>238</v>
      </c>
      <c r="BH238" s="23">
        <f>F238*AO238</f>
        <v>0</v>
      </c>
      <c r="BI238" s="23">
        <f>F238*AP238</f>
        <v>0</v>
      </c>
      <c r="BJ238" s="23">
        <f>F238*G238</f>
        <v>0</v>
      </c>
      <c r="BK238" s="23"/>
      <c r="BL238" s="23"/>
      <c r="BW238" s="23">
        <v>21</v>
      </c>
    </row>
    <row r="239" spans="1:75" ht="13.5" customHeight="1" x14ac:dyDescent="0.25">
      <c r="A239" s="2" t="s">
        <v>717</v>
      </c>
      <c r="B239" s="3" t="s">
        <v>718</v>
      </c>
      <c r="C239" s="80" t="s">
        <v>719</v>
      </c>
      <c r="D239" s="75"/>
      <c r="E239" s="3" t="s">
        <v>627</v>
      </c>
      <c r="F239" s="23">
        <v>1</v>
      </c>
      <c r="G239" s="23">
        <v>0</v>
      </c>
      <c r="H239" s="23">
        <f>F239*AO239</f>
        <v>0</v>
      </c>
      <c r="I239" s="23">
        <f>F239*AP239</f>
        <v>0</v>
      </c>
      <c r="J239" s="23">
        <f>F239*G239</f>
        <v>0</v>
      </c>
      <c r="K239" s="23">
        <v>0</v>
      </c>
      <c r="L239" s="24">
        <v>0</v>
      </c>
      <c r="Z239" s="23">
        <f>IF(AQ239="5",BJ239,0)</f>
        <v>0</v>
      </c>
      <c r="AB239" s="23">
        <f>IF(AQ239="1",BH239,0)</f>
        <v>0</v>
      </c>
      <c r="AC239" s="23">
        <f>IF(AQ239="1",BI239,0)</f>
        <v>0</v>
      </c>
      <c r="AD239" s="23">
        <f>IF(AQ239="7",BH239,0)</f>
        <v>0</v>
      </c>
      <c r="AE239" s="23">
        <f>IF(AQ239="7",BI239,0)</f>
        <v>0</v>
      </c>
      <c r="AF239" s="23">
        <f>IF(AQ239="2",BH239,0)</f>
        <v>0</v>
      </c>
      <c r="AG239" s="23">
        <f>IF(AQ239="2",BI239,0)</f>
        <v>0</v>
      </c>
      <c r="AH239" s="23">
        <f>IF(AQ239="0",BJ239,0)</f>
        <v>0</v>
      </c>
      <c r="AI239" s="8" t="s">
        <v>53</v>
      </c>
      <c r="AJ239" s="23">
        <f>IF(AN239=0,J239,0)</f>
        <v>0</v>
      </c>
      <c r="AK239" s="23">
        <f>IF(AN239=12,J239,0)</f>
        <v>0</v>
      </c>
      <c r="AL239" s="23">
        <f>IF(AN239=21,J239,0)</f>
        <v>0</v>
      </c>
      <c r="AN239" s="23">
        <v>21</v>
      </c>
      <c r="AO239" s="23">
        <f>G239*0</f>
        <v>0</v>
      </c>
      <c r="AP239" s="23">
        <f>G239*(1-0)</f>
        <v>0</v>
      </c>
      <c r="AQ239" s="25" t="s">
        <v>80</v>
      </c>
      <c r="AV239" s="23">
        <f>AW239+AX239</f>
        <v>0</v>
      </c>
      <c r="AW239" s="23">
        <f>F239*AO239</f>
        <v>0</v>
      </c>
      <c r="AX239" s="23">
        <f>F239*AP239</f>
        <v>0</v>
      </c>
      <c r="AY239" s="25" t="s">
        <v>712</v>
      </c>
      <c r="AZ239" s="25" t="s">
        <v>565</v>
      </c>
      <c r="BA239" s="8" t="s">
        <v>62</v>
      </c>
      <c r="BC239" s="23">
        <f>AW239+AX239</f>
        <v>0</v>
      </c>
      <c r="BD239" s="23">
        <f>G239/(100-BE239)*100</f>
        <v>0</v>
      </c>
      <c r="BE239" s="23">
        <v>0</v>
      </c>
      <c r="BF239" s="23">
        <f>239</f>
        <v>239</v>
      </c>
      <c r="BH239" s="23">
        <f>F239*AO239</f>
        <v>0</v>
      </c>
      <c r="BI239" s="23">
        <f>F239*AP239</f>
        <v>0</v>
      </c>
      <c r="BJ239" s="23">
        <f>F239*G239</f>
        <v>0</v>
      </c>
      <c r="BK239" s="23"/>
      <c r="BL239" s="23"/>
      <c r="BW239" s="23">
        <v>21</v>
      </c>
    </row>
    <row r="240" spans="1:75" x14ac:dyDescent="0.25">
      <c r="A240" s="26" t="s">
        <v>53</v>
      </c>
      <c r="B240" s="27" t="s">
        <v>720</v>
      </c>
      <c r="C240" s="98" t="s">
        <v>721</v>
      </c>
      <c r="D240" s="99"/>
      <c r="E240" s="28" t="s">
        <v>10</v>
      </c>
      <c r="F240" s="28" t="s">
        <v>10</v>
      </c>
      <c r="G240" s="28" t="s">
        <v>10</v>
      </c>
      <c r="H240" s="1">
        <f>SUM(H241:H244)</f>
        <v>0</v>
      </c>
      <c r="I240" s="1">
        <f>SUM(I241:I244)</f>
        <v>0</v>
      </c>
      <c r="J240" s="1">
        <f>SUM(J241:J244)</f>
        <v>0</v>
      </c>
      <c r="K240" s="8" t="s">
        <v>53</v>
      </c>
      <c r="L240" s="29" t="s">
        <v>53</v>
      </c>
      <c r="AI240" s="8" t="s">
        <v>53</v>
      </c>
      <c r="AS240" s="1">
        <f>SUM(AJ241:AJ244)</f>
        <v>0</v>
      </c>
      <c r="AT240" s="1">
        <f>SUM(AK241:AK244)</f>
        <v>0</v>
      </c>
      <c r="AU240" s="1">
        <f>SUM(AL241:AL244)</f>
        <v>0</v>
      </c>
    </row>
    <row r="241" spans="1:75" ht="13.5" customHeight="1" x14ac:dyDescent="0.25">
      <c r="A241" s="2" t="s">
        <v>722</v>
      </c>
      <c r="B241" s="3" t="s">
        <v>723</v>
      </c>
      <c r="C241" s="80" t="s">
        <v>724</v>
      </c>
      <c r="D241" s="75"/>
      <c r="E241" s="3" t="s">
        <v>68</v>
      </c>
      <c r="F241" s="23">
        <v>3</v>
      </c>
      <c r="G241" s="23">
        <v>0</v>
      </c>
      <c r="H241" s="23">
        <f>F241*AO241</f>
        <v>0</v>
      </c>
      <c r="I241" s="23">
        <f>F241*AP241</f>
        <v>0</v>
      </c>
      <c r="J241" s="23">
        <f>F241*G241</f>
        <v>0</v>
      </c>
      <c r="K241" s="23">
        <v>0</v>
      </c>
      <c r="L241" s="24">
        <v>0</v>
      </c>
      <c r="Z241" s="23">
        <f>IF(AQ241="5",BJ241,0)</f>
        <v>0</v>
      </c>
      <c r="AB241" s="23">
        <f>IF(AQ241="1",BH241,0)</f>
        <v>0</v>
      </c>
      <c r="AC241" s="23">
        <f>IF(AQ241="1",BI241,0)</f>
        <v>0</v>
      </c>
      <c r="AD241" s="23">
        <f>IF(AQ241="7",BH241,0)</f>
        <v>0</v>
      </c>
      <c r="AE241" s="23">
        <f>IF(AQ241="7",BI241,0)</f>
        <v>0</v>
      </c>
      <c r="AF241" s="23">
        <f>IF(AQ241="2",BH241,0)</f>
        <v>0</v>
      </c>
      <c r="AG241" s="23">
        <f>IF(AQ241="2",BI241,0)</f>
        <v>0</v>
      </c>
      <c r="AH241" s="23">
        <f>IF(AQ241="0",BJ241,0)</f>
        <v>0</v>
      </c>
      <c r="AI241" s="8" t="s">
        <v>53</v>
      </c>
      <c r="AJ241" s="23">
        <f>IF(AN241=0,J241,0)</f>
        <v>0</v>
      </c>
      <c r="AK241" s="23">
        <f>IF(AN241=12,J241,0)</f>
        <v>0</v>
      </c>
      <c r="AL241" s="23">
        <f>IF(AN241=21,J241,0)</f>
        <v>0</v>
      </c>
      <c r="AN241" s="23">
        <v>21</v>
      </c>
      <c r="AO241" s="23">
        <f>G241*0</f>
        <v>0</v>
      </c>
      <c r="AP241" s="23">
        <f>G241*(1-0)</f>
        <v>0</v>
      </c>
      <c r="AQ241" s="25" t="s">
        <v>65</v>
      </c>
      <c r="AV241" s="23">
        <f>AW241+AX241</f>
        <v>0</v>
      </c>
      <c r="AW241" s="23">
        <f>F241*AO241</f>
        <v>0</v>
      </c>
      <c r="AX241" s="23">
        <f>F241*AP241</f>
        <v>0</v>
      </c>
      <c r="AY241" s="25" t="s">
        <v>725</v>
      </c>
      <c r="AZ241" s="25" t="s">
        <v>565</v>
      </c>
      <c r="BA241" s="8" t="s">
        <v>62</v>
      </c>
      <c r="BC241" s="23">
        <f>AW241+AX241</f>
        <v>0</v>
      </c>
      <c r="BD241" s="23">
        <f>G241/(100-BE241)*100</f>
        <v>0</v>
      </c>
      <c r="BE241" s="23">
        <v>0</v>
      </c>
      <c r="BF241" s="23">
        <f>241</f>
        <v>241</v>
      </c>
      <c r="BH241" s="23">
        <f>F241*AO241</f>
        <v>0</v>
      </c>
      <c r="BI241" s="23">
        <f>F241*AP241</f>
        <v>0</v>
      </c>
      <c r="BJ241" s="23">
        <f>F241*G241</f>
        <v>0</v>
      </c>
      <c r="BK241" s="23"/>
      <c r="BL241" s="23"/>
      <c r="BW241" s="23">
        <v>21</v>
      </c>
    </row>
    <row r="242" spans="1:75" ht="13.5" customHeight="1" x14ac:dyDescent="0.25">
      <c r="A242" s="2" t="s">
        <v>726</v>
      </c>
      <c r="B242" s="3" t="s">
        <v>727</v>
      </c>
      <c r="C242" s="80" t="s">
        <v>728</v>
      </c>
      <c r="D242" s="75"/>
      <c r="E242" s="3" t="s">
        <v>68</v>
      </c>
      <c r="F242" s="23">
        <v>1</v>
      </c>
      <c r="G242" s="23">
        <v>0</v>
      </c>
      <c r="H242" s="23">
        <f>F242*AO242</f>
        <v>0</v>
      </c>
      <c r="I242" s="23">
        <f>F242*AP242</f>
        <v>0</v>
      </c>
      <c r="J242" s="23">
        <f>F242*G242</f>
        <v>0</v>
      </c>
      <c r="K242" s="23">
        <v>0</v>
      </c>
      <c r="L242" s="24">
        <v>0</v>
      </c>
      <c r="Z242" s="23">
        <f>IF(AQ242="5",BJ242,0)</f>
        <v>0</v>
      </c>
      <c r="AB242" s="23">
        <f>IF(AQ242="1",BH242,0)</f>
        <v>0</v>
      </c>
      <c r="AC242" s="23">
        <f>IF(AQ242="1",BI242,0)</f>
        <v>0</v>
      </c>
      <c r="AD242" s="23">
        <f>IF(AQ242="7",BH242,0)</f>
        <v>0</v>
      </c>
      <c r="AE242" s="23">
        <f>IF(AQ242="7",BI242,0)</f>
        <v>0</v>
      </c>
      <c r="AF242" s="23">
        <f>IF(AQ242="2",BH242,0)</f>
        <v>0</v>
      </c>
      <c r="AG242" s="23">
        <f>IF(AQ242="2",BI242,0)</f>
        <v>0</v>
      </c>
      <c r="AH242" s="23">
        <f>IF(AQ242="0",BJ242,0)</f>
        <v>0</v>
      </c>
      <c r="AI242" s="8" t="s">
        <v>53</v>
      </c>
      <c r="AJ242" s="23">
        <f>IF(AN242=0,J242,0)</f>
        <v>0</v>
      </c>
      <c r="AK242" s="23">
        <f>IF(AN242=12,J242,0)</f>
        <v>0</v>
      </c>
      <c r="AL242" s="23">
        <f>IF(AN242=21,J242,0)</f>
        <v>0</v>
      </c>
      <c r="AN242" s="23">
        <v>21</v>
      </c>
      <c r="AO242" s="23">
        <f>G242*0</f>
        <v>0</v>
      </c>
      <c r="AP242" s="23">
        <f>G242*(1-0)</f>
        <v>0</v>
      </c>
      <c r="AQ242" s="25" t="s">
        <v>65</v>
      </c>
      <c r="AV242" s="23">
        <f>AW242+AX242</f>
        <v>0</v>
      </c>
      <c r="AW242" s="23">
        <f>F242*AO242</f>
        <v>0</v>
      </c>
      <c r="AX242" s="23">
        <f>F242*AP242</f>
        <v>0</v>
      </c>
      <c r="AY242" s="25" t="s">
        <v>725</v>
      </c>
      <c r="AZ242" s="25" t="s">
        <v>565</v>
      </c>
      <c r="BA242" s="8" t="s">
        <v>62</v>
      </c>
      <c r="BC242" s="23">
        <f>AW242+AX242</f>
        <v>0</v>
      </c>
      <c r="BD242" s="23">
        <f>G242/(100-BE242)*100</f>
        <v>0</v>
      </c>
      <c r="BE242" s="23">
        <v>0</v>
      </c>
      <c r="BF242" s="23">
        <f>242</f>
        <v>242</v>
      </c>
      <c r="BH242" s="23">
        <f>F242*AO242</f>
        <v>0</v>
      </c>
      <c r="BI242" s="23">
        <f>F242*AP242</f>
        <v>0</v>
      </c>
      <c r="BJ242" s="23">
        <f>F242*G242</f>
        <v>0</v>
      </c>
      <c r="BK242" s="23"/>
      <c r="BL242" s="23"/>
      <c r="BW242" s="23">
        <v>21</v>
      </c>
    </row>
    <row r="243" spans="1:75" ht="13.5" customHeight="1" x14ac:dyDescent="0.25">
      <c r="A243" s="2" t="s">
        <v>729</v>
      </c>
      <c r="B243" s="3" t="s">
        <v>730</v>
      </c>
      <c r="C243" s="80" t="s">
        <v>731</v>
      </c>
      <c r="D243" s="75"/>
      <c r="E243" s="3" t="s">
        <v>68</v>
      </c>
      <c r="F243" s="23">
        <v>1</v>
      </c>
      <c r="G243" s="23">
        <v>0</v>
      </c>
      <c r="H243" s="23">
        <f>F243*AO243</f>
        <v>0</v>
      </c>
      <c r="I243" s="23">
        <f>F243*AP243</f>
        <v>0</v>
      </c>
      <c r="J243" s="23">
        <f>F243*G243</f>
        <v>0</v>
      </c>
      <c r="K243" s="23">
        <v>0</v>
      </c>
      <c r="L243" s="24">
        <v>0</v>
      </c>
      <c r="Z243" s="23">
        <f>IF(AQ243="5",BJ243,0)</f>
        <v>0</v>
      </c>
      <c r="AB243" s="23">
        <f>IF(AQ243="1",BH243,0)</f>
        <v>0</v>
      </c>
      <c r="AC243" s="23">
        <f>IF(AQ243="1",BI243,0)</f>
        <v>0</v>
      </c>
      <c r="AD243" s="23">
        <f>IF(AQ243="7",BH243,0)</f>
        <v>0</v>
      </c>
      <c r="AE243" s="23">
        <f>IF(AQ243="7",BI243,0)</f>
        <v>0</v>
      </c>
      <c r="AF243" s="23">
        <f>IF(AQ243="2",BH243,0)</f>
        <v>0</v>
      </c>
      <c r="AG243" s="23">
        <f>IF(AQ243="2",BI243,0)</f>
        <v>0</v>
      </c>
      <c r="AH243" s="23">
        <f>IF(AQ243="0",BJ243,0)</f>
        <v>0</v>
      </c>
      <c r="AI243" s="8" t="s">
        <v>53</v>
      </c>
      <c r="AJ243" s="23">
        <f>IF(AN243=0,J243,0)</f>
        <v>0</v>
      </c>
      <c r="AK243" s="23">
        <f>IF(AN243=12,J243,0)</f>
        <v>0</v>
      </c>
      <c r="AL243" s="23">
        <f>IF(AN243=21,J243,0)</f>
        <v>0</v>
      </c>
      <c r="AN243" s="23">
        <v>21</v>
      </c>
      <c r="AO243" s="23">
        <f>G243*0</f>
        <v>0</v>
      </c>
      <c r="AP243" s="23">
        <f>G243*(1-0)</f>
        <v>0</v>
      </c>
      <c r="AQ243" s="25" t="s">
        <v>65</v>
      </c>
      <c r="AV243" s="23">
        <f>AW243+AX243</f>
        <v>0</v>
      </c>
      <c r="AW243" s="23">
        <f>F243*AO243</f>
        <v>0</v>
      </c>
      <c r="AX243" s="23">
        <f>F243*AP243</f>
        <v>0</v>
      </c>
      <c r="AY243" s="25" t="s">
        <v>725</v>
      </c>
      <c r="AZ243" s="25" t="s">
        <v>565</v>
      </c>
      <c r="BA243" s="8" t="s">
        <v>62</v>
      </c>
      <c r="BC243" s="23">
        <f>AW243+AX243</f>
        <v>0</v>
      </c>
      <c r="BD243" s="23">
        <f>G243/(100-BE243)*100</f>
        <v>0</v>
      </c>
      <c r="BE243" s="23">
        <v>0</v>
      </c>
      <c r="BF243" s="23">
        <f>243</f>
        <v>243</v>
      </c>
      <c r="BH243" s="23">
        <f>F243*AO243</f>
        <v>0</v>
      </c>
      <c r="BI243" s="23">
        <f>F243*AP243</f>
        <v>0</v>
      </c>
      <c r="BJ243" s="23">
        <f>F243*G243</f>
        <v>0</v>
      </c>
      <c r="BK243" s="23"/>
      <c r="BL243" s="23"/>
      <c r="BW243" s="23">
        <v>21</v>
      </c>
    </row>
    <row r="244" spans="1:75" ht="13.5" customHeight="1" x14ac:dyDescent="0.25">
      <c r="A244" s="2" t="s">
        <v>732</v>
      </c>
      <c r="B244" s="3" t="s">
        <v>733</v>
      </c>
      <c r="C244" s="80" t="s">
        <v>734</v>
      </c>
      <c r="D244" s="75"/>
      <c r="E244" s="3" t="s">
        <v>68</v>
      </c>
      <c r="F244" s="23">
        <v>1</v>
      </c>
      <c r="G244" s="23">
        <v>0</v>
      </c>
      <c r="H244" s="23">
        <f>F244*AO244</f>
        <v>0</v>
      </c>
      <c r="I244" s="23">
        <f>F244*AP244</f>
        <v>0</v>
      </c>
      <c r="J244" s="23">
        <f>F244*G244</f>
        <v>0</v>
      </c>
      <c r="K244" s="23">
        <v>0</v>
      </c>
      <c r="L244" s="24">
        <v>0</v>
      </c>
      <c r="Z244" s="23">
        <f>IF(AQ244="5",BJ244,0)</f>
        <v>0</v>
      </c>
      <c r="AB244" s="23">
        <f>IF(AQ244="1",BH244,0)</f>
        <v>0</v>
      </c>
      <c r="AC244" s="23">
        <f>IF(AQ244="1",BI244,0)</f>
        <v>0</v>
      </c>
      <c r="AD244" s="23">
        <f>IF(AQ244="7",BH244,0)</f>
        <v>0</v>
      </c>
      <c r="AE244" s="23">
        <f>IF(AQ244="7",BI244,0)</f>
        <v>0</v>
      </c>
      <c r="AF244" s="23">
        <f>IF(AQ244="2",BH244,0)</f>
        <v>0</v>
      </c>
      <c r="AG244" s="23">
        <f>IF(AQ244="2",BI244,0)</f>
        <v>0</v>
      </c>
      <c r="AH244" s="23">
        <f>IF(AQ244="0",BJ244,0)</f>
        <v>0</v>
      </c>
      <c r="AI244" s="8" t="s">
        <v>53</v>
      </c>
      <c r="AJ244" s="23">
        <f>IF(AN244=0,J244,0)</f>
        <v>0</v>
      </c>
      <c r="AK244" s="23">
        <f>IF(AN244=12,J244,0)</f>
        <v>0</v>
      </c>
      <c r="AL244" s="23">
        <f>IF(AN244=21,J244,0)</f>
        <v>0</v>
      </c>
      <c r="AN244" s="23">
        <v>21</v>
      </c>
      <c r="AO244" s="23">
        <f>G244*0</f>
        <v>0</v>
      </c>
      <c r="AP244" s="23">
        <f>G244*(1-0)</f>
        <v>0</v>
      </c>
      <c r="AQ244" s="25" t="s">
        <v>56</v>
      </c>
      <c r="AV244" s="23">
        <f>AW244+AX244</f>
        <v>0</v>
      </c>
      <c r="AW244" s="23">
        <f>F244*AO244</f>
        <v>0</v>
      </c>
      <c r="AX244" s="23">
        <f>F244*AP244</f>
        <v>0</v>
      </c>
      <c r="AY244" s="25" t="s">
        <v>725</v>
      </c>
      <c r="AZ244" s="25" t="s">
        <v>565</v>
      </c>
      <c r="BA244" s="8" t="s">
        <v>62</v>
      </c>
      <c r="BC244" s="23">
        <f>AW244+AX244</f>
        <v>0</v>
      </c>
      <c r="BD244" s="23">
        <f>G244/(100-BE244)*100</f>
        <v>0</v>
      </c>
      <c r="BE244" s="23">
        <v>0</v>
      </c>
      <c r="BF244" s="23">
        <f>244</f>
        <v>244</v>
      </c>
      <c r="BH244" s="23">
        <f>F244*AO244</f>
        <v>0</v>
      </c>
      <c r="BI244" s="23">
        <f>F244*AP244</f>
        <v>0</v>
      </c>
      <c r="BJ244" s="23">
        <f>F244*G244</f>
        <v>0</v>
      </c>
      <c r="BK244" s="23"/>
      <c r="BL244" s="23"/>
      <c r="BW244" s="23">
        <v>21</v>
      </c>
    </row>
    <row r="245" spans="1:75" x14ac:dyDescent="0.25">
      <c r="A245" s="26" t="s">
        <v>53</v>
      </c>
      <c r="B245" s="27" t="s">
        <v>735</v>
      </c>
      <c r="C245" s="98" t="s">
        <v>736</v>
      </c>
      <c r="D245" s="99"/>
      <c r="E245" s="28" t="s">
        <v>10</v>
      </c>
      <c r="F245" s="28" t="s">
        <v>10</v>
      </c>
      <c r="G245" s="28" t="s">
        <v>10</v>
      </c>
      <c r="H245" s="1">
        <f>SUM(H246:H289)</f>
        <v>0</v>
      </c>
      <c r="I245" s="1">
        <f>SUM(I246:I289)</f>
        <v>0</v>
      </c>
      <c r="J245" s="1">
        <f>SUM(J246:J289)</f>
        <v>0</v>
      </c>
      <c r="K245" s="8" t="s">
        <v>53</v>
      </c>
      <c r="L245" s="29" t="s">
        <v>53</v>
      </c>
      <c r="AI245" s="8" t="s">
        <v>53</v>
      </c>
      <c r="AS245" s="1">
        <f>SUM(AJ246:AJ289)</f>
        <v>0</v>
      </c>
      <c r="AT245" s="1">
        <f>SUM(AK246:AK289)</f>
        <v>0</v>
      </c>
      <c r="AU245" s="1">
        <f>SUM(AL246:AL289)</f>
        <v>0</v>
      </c>
    </row>
    <row r="246" spans="1:75" ht="13.5" customHeight="1" x14ac:dyDescent="0.25">
      <c r="A246" s="2" t="s">
        <v>737</v>
      </c>
      <c r="B246" s="3" t="s">
        <v>738</v>
      </c>
      <c r="C246" s="80" t="s">
        <v>739</v>
      </c>
      <c r="D246" s="75"/>
      <c r="E246" s="3" t="s">
        <v>102</v>
      </c>
      <c r="F246" s="23">
        <v>70</v>
      </c>
      <c r="G246" s="23">
        <v>0</v>
      </c>
      <c r="H246" s="23">
        <f t="shared" ref="H246:H282" si="224">F246*AO246</f>
        <v>0</v>
      </c>
      <c r="I246" s="23">
        <f t="shared" ref="I246:I282" si="225">F246*AP246</f>
        <v>0</v>
      </c>
      <c r="J246" s="23">
        <f t="shared" ref="J246:J282" si="226">F246*G246</f>
        <v>0</v>
      </c>
      <c r="K246" s="23">
        <v>0</v>
      </c>
      <c r="L246" s="24">
        <v>1E-3</v>
      </c>
      <c r="Z246" s="23">
        <f t="shared" ref="Z246:Z282" si="227">IF(AQ246="5",BJ246,0)</f>
        <v>0</v>
      </c>
      <c r="AB246" s="23">
        <f t="shared" ref="AB246:AB282" si="228">IF(AQ246="1",BH246,0)</f>
        <v>0</v>
      </c>
      <c r="AC246" s="23">
        <f t="shared" ref="AC246:AC282" si="229">IF(AQ246="1",BI246,0)</f>
        <v>0</v>
      </c>
      <c r="AD246" s="23">
        <f t="shared" ref="AD246:AD282" si="230">IF(AQ246="7",BH246,0)</f>
        <v>0</v>
      </c>
      <c r="AE246" s="23">
        <f t="shared" ref="AE246:AE282" si="231">IF(AQ246="7",BI246,0)</f>
        <v>0</v>
      </c>
      <c r="AF246" s="23">
        <f t="shared" ref="AF246:AF282" si="232">IF(AQ246="2",BH246,0)</f>
        <v>0</v>
      </c>
      <c r="AG246" s="23">
        <f t="shared" ref="AG246:AG282" si="233">IF(AQ246="2",BI246,0)</f>
        <v>0</v>
      </c>
      <c r="AH246" s="23">
        <f t="shared" ref="AH246:AH282" si="234">IF(AQ246="0",BJ246,0)</f>
        <v>0</v>
      </c>
      <c r="AI246" s="8" t="s">
        <v>53</v>
      </c>
      <c r="AJ246" s="23">
        <f t="shared" ref="AJ246:AJ282" si="235">IF(AN246=0,J246,0)</f>
        <v>0</v>
      </c>
      <c r="AK246" s="23">
        <f t="shared" ref="AK246:AK282" si="236">IF(AN246=12,J246,0)</f>
        <v>0</v>
      </c>
      <c r="AL246" s="23">
        <f t="shared" ref="AL246:AL282" si="237">IF(AN246=21,J246,0)</f>
        <v>0</v>
      </c>
      <c r="AN246" s="23">
        <v>21</v>
      </c>
      <c r="AO246" s="23">
        <f>G246*0</f>
        <v>0</v>
      </c>
      <c r="AP246" s="23">
        <f>G246*(1-0)</f>
        <v>0</v>
      </c>
      <c r="AQ246" s="25" t="s">
        <v>65</v>
      </c>
      <c r="AV246" s="23">
        <f t="shared" ref="AV246:AV282" si="238">AW246+AX246</f>
        <v>0</v>
      </c>
      <c r="AW246" s="23">
        <f t="shared" ref="AW246:AW282" si="239">F246*AO246</f>
        <v>0</v>
      </c>
      <c r="AX246" s="23">
        <f t="shared" ref="AX246:AX282" si="240">F246*AP246</f>
        <v>0</v>
      </c>
      <c r="AY246" s="25" t="s">
        <v>740</v>
      </c>
      <c r="AZ246" s="25" t="s">
        <v>565</v>
      </c>
      <c r="BA246" s="8" t="s">
        <v>62</v>
      </c>
      <c r="BC246" s="23">
        <f t="shared" ref="BC246:BC282" si="241">AW246+AX246</f>
        <v>0</v>
      </c>
      <c r="BD246" s="23">
        <f t="shared" ref="BD246:BD282" si="242">G246/(100-BE246)*100</f>
        <v>0</v>
      </c>
      <c r="BE246" s="23">
        <v>0</v>
      </c>
      <c r="BF246" s="23">
        <f>246</f>
        <v>246</v>
      </c>
      <c r="BH246" s="23">
        <f t="shared" ref="BH246:BH282" si="243">F246*AO246</f>
        <v>0</v>
      </c>
      <c r="BI246" s="23">
        <f t="shared" ref="BI246:BI282" si="244">F246*AP246</f>
        <v>0</v>
      </c>
      <c r="BJ246" s="23">
        <f t="shared" ref="BJ246:BJ282" si="245">F246*G246</f>
        <v>0</v>
      </c>
      <c r="BK246" s="23"/>
      <c r="BL246" s="23"/>
      <c r="BW246" s="23">
        <v>21</v>
      </c>
    </row>
    <row r="247" spans="1:75" ht="13.5" customHeight="1" x14ac:dyDescent="0.25">
      <c r="A247" s="2" t="s">
        <v>741</v>
      </c>
      <c r="B247" s="3" t="s">
        <v>742</v>
      </c>
      <c r="C247" s="80" t="s">
        <v>743</v>
      </c>
      <c r="D247" s="75"/>
      <c r="E247" s="3" t="s">
        <v>68</v>
      </c>
      <c r="F247" s="23">
        <v>1</v>
      </c>
      <c r="G247" s="23">
        <v>0</v>
      </c>
      <c r="H247" s="23">
        <f t="shared" si="224"/>
        <v>0</v>
      </c>
      <c r="I247" s="23">
        <f t="shared" si="225"/>
        <v>0</v>
      </c>
      <c r="J247" s="23">
        <f t="shared" si="226"/>
        <v>0</v>
      </c>
      <c r="K247" s="23">
        <v>0</v>
      </c>
      <c r="L247" s="24">
        <v>2.9999999999999997E-4</v>
      </c>
      <c r="Z247" s="23">
        <f t="shared" si="227"/>
        <v>0</v>
      </c>
      <c r="AB247" s="23">
        <f t="shared" si="228"/>
        <v>0</v>
      </c>
      <c r="AC247" s="23">
        <f t="shared" si="229"/>
        <v>0</v>
      </c>
      <c r="AD247" s="23">
        <f t="shared" si="230"/>
        <v>0</v>
      </c>
      <c r="AE247" s="23">
        <f t="shared" si="231"/>
        <v>0</v>
      </c>
      <c r="AF247" s="23">
        <f t="shared" si="232"/>
        <v>0</v>
      </c>
      <c r="AG247" s="23">
        <f t="shared" si="233"/>
        <v>0</v>
      </c>
      <c r="AH247" s="23">
        <f t="shared" si="234"/>
        <v>0</v>
      </c>
      <c r="AI247" s="8" t="s">
        <v>53</v>
      </c>
      <c r="AJ247" s="23">
        <f t="shared" si="235"/>
        <v>0</v>
      </c>
      <c r="AK247" s="23">
        <f t="shared" si="236"/>
        <v>0</v>
      </c>
      <c r="AL247" s="23">
        <f t="shared" si="237"/>
        <v>0</v>
      </c>
      <c r="AN247" s="23">
        <v>21</v>
      </c>
      <c r="AO247" s="23">
        <f>G247*0.976013234</f>
        <v>0</v>
      </c>
      <c r="AP247" s="23">
        <f>G247*(1-0.976013234)</f>
        <v>0</v>
      </c>
      <c r="AQ247" s="25" t="s">
        <v>65</v>
      </c>
      <c r="AV247" s="23">
        <f t="shared" si="238"/>
        <v>0</v>
      </c>
      <c r="AW247" s="23">
        <f t="shared" si="239"/>
        <v>0</v>
      </c>
      <c r="AX247" s="23">
        <f t="shared" si="240"/>
        <v>0</v>
      </c>
      <c r="AY247" s="25" t="s">
        <v>740</v>
      </c>
      <c r="AZ247" s="25" t="s">
        <v>565</v>
      </c>
      <c r="BA247" s="8" t="s">
        <v>62</v>
      </c>
      <c r="BC247" s="23">
        <f t="shared" si="241"/>
        <v>0</v>
      </c>
      <c r="BD247" s="23">
        <f t="shared" si="242"/>
        <v>0</v>
      </c>
      <c r="BE247" s="23">
        <v>0</v>
      </c>
      <c r="BF247" s="23">
        <f>247</f>
        <v>247</v>
      </c>
      <c r="BH247" s="23">
        <f t="shared" si="243"/>
        <v>0</v>
      </c>
      <c r="BI247" s="23">
        <f t="shared" si="244"/>
        <v>0</v>
      </c>
      <c r="BJ247" s="23">
        <f t="shared" si="245"/>
        <v>0</v>
      </c>
      <c r="BK247" s="23"/>
      <c r="BL247" s="23"/>
      <c r="BW247" s="23">
        <v>21</v>
      </c>
    </row>
    <row r="248" spans="1:75" ht="13.5" customHeight="1" x14ac:dyDescent="0.25">
      <c r="A248" s="2" t="s">
        <v>744</v>
      </c>
      <c r="B248" s="3" t="s">
        <v>745</v>
      </c>
      <c r="C248" s="80" t="s">
        <v>746</v>
      </c>
      <c r="D248" s="75"/>
      <c r="E248" s="3" t="s">
        <v>68</v>
      </c>
      <c r="F248" s="23">
        <v>30</v>
      </c>
      <c r="G248" s="23">
        <v>0</v>
      </c>
      <c r="H248" s="23">
        <f t="shared" si="224"/>
        <v>0</v>
      </c>
      <c r="I248" s="23">
        <f t="shared" si="225"/>
        <v>0</v>
      </c>
      <c r="J248" s="23">
        <f t="shared" si="226"/>
        <v>0</v>
      </c>
      <c r="K248" s="23">
        <v>1E-3</v>
      </c>
      <c r="L248" s="24">
        <v>2E-3</v>
      </c>
      <c r="Z248" s="23">
        <f t="shared" si="227"/>
        <v>0</v>
      </c>
      <c r="AB248" s="23">
        <f t="shared" si="228"/>
        <v>0</v>
      </c>
      <c r="AC248" s="23">
        <f t="shared" si="229"/>
        <v>0</v>
      </c>
      <c r="AD248" s="23">
        <f t="shared" si="230"/>
        <v>0</v>
      </c>
      <c r="AE248" s="23">
        <f t="shared" si="231"/>
        <v>0</v>
      </c>
      <c r="AF248" s="23">
        <f t="shared" si="232"/>
        <v>0</v>
      </c>
      <c r="AG248" s="23">
        <f t="shared" si="233"/>
        <v>0</v>
      </c>
      <c r="AH248" s="23">
        <f t="shared" si="234"/>
        <v>0</v>
      </c>
      <c r="AI248" s="8" t="s">
        <v>53</v>
      </c>
      <c r="AJ248" s="23">
        <f t="shared" si="235"/>
        <v>0</v>
      </c>
      <c r="AK248" s="23">
        <f t="shared" si="236"/>
        <v>0</v>
      </c>
      <c r="AL248" s="23">
        <f t="shared" si="237"/>
        <v>0</v>
      </c>
      <c r="AN248" s="23">
        <v>21</v>
      </c>
      <c r="AO248" s="23">
        <f>G248*0</f>
        <v>0</v>
      </c>
      <c r="AP248" s="23">
        <f>G248*(1-0)</f>
        <v>0</v>
      </c>
      <c r="AQ248" s="25" t="s">
        <v>65</v>
      </c>
      <c r="AV248" s="23">
        <f t="shared" si="238"/>
        <v>0</v>
      </c>
      <c r="AW248" s="23">
        <f t="shared" si="239"/>
        <v>0</v>
      </c>
      <c r="AX248" s="23">
        <f t="shared" si="240"/>
        <v>0</v>
      </c>
      <c r="AY248" s="25" t="s">
        <v>740</v>
      </c>
      <c r="AZ248" s="25" t="s">
        <v>565</v>
      </c>
      <c r="BA248" s="8" t="s">
        <v>62</v>
      </c>
      <c r="BC248" s="23">
        <f t="shared" si="241"/>
        <v>0</v>
      </c>
      <c r="BD248" s="23">
        <f t="shared" si="242"/>
        <v>0</v>
      </c>
      <c r="BE248" s="23">
        <v>0</v>
      </c>
      <c r="BF248" s="23">
        <f>248</f>
        <v>248</v>
      </c>
      <c r="BH248" s="23">
        <f t="shared" si="243"/>
        <v>0</v>
      </c>
      <c r="BI248" s="23">
        <f t="shared" si="244"/>
        <v>0</v>
      </c>
      <c r="BJ248" s="23">
        <f t="shared" si="245"/>
        <v>0</v>
      </c>
      <c r="BK248" s="23"/>
      <c r="BL248" s="23"/>
      <c r="BW248" s="23">
        <v>21</v>
      </c>
    </row>
    <row r="249" spans="1:75" ht="13.5" customHeight="1" x14ac:dyDescent="0.25">
      <c r="A249" s="2" t="s">
        <v>747</v>
      </c>
      <c r="B249" s="3" t="s">
        <v>748</v>
      </c>
      <c r="C249" s="80" t="s">
        <v>749</v>
      </c>
      <c r="D249" s="75"/>
      <c r="E249" s="3" t="s">
        <v>68</v>
      </c>
      <c r="F249" s="23">
        <v>1</v>
      </c>
      <c r="G249" s="23">
        <v>0</v>
      </c>
      <c r="H249" s="23">
        <f t="shared" si="224"/>
        <v>0</v>
      </c>
      <c r="I249" s="23">
        <f t="shared" si="225"/>
        <v>0</v>
      </c>
      <c r="J249" s="23">
        <f t="shared" si="226"/>
        <v>0</v>
      </c>
      <c r="K249" s="23">
        <v>5.9999999999999995E-4</v>
      </c>
      <c r="L249" s="24">
        <v>5.9999999999999995E-4</v>
      </c>
      <c r="Z249" s="23">
        <f t="shared" si="227"/>
        <v>0</v>
      </c>
      <c r="AB249" s="23">
        <f t="shared" si="228"/>
        <v>0</v>
      </c>
      <c r="AC249" s="23">
        <f t="shared" si="229"/>
        <v>0</v>
      </c>
      <c r="AD249" s="23">
        <f t="shared" si="230"/>
        <v>0</v>
      </c>
      <c r="AE249" s="23">
        <f t="shared" si="231"/>
        <v>0</v>
      </c>
      <c r="AF249" s="23">
        <f t="shared" si="232"/>
        <v>0</v>
      </c>
      <c r="AG249" s="23">
        <f t="shared" si="233"/>
        <v>0</v>
      </c>
      <c r="AH249" s="23">
        <f t="shared" si="234"/>
        <v>0</v>
      </c>
      <c r="AI249" s="8" t="s">
        <v>53</v>
      </c>
      <c r="AJ249" s="23">
        <f t="shared" si="235"/>
        <v>0</v>
      </c>
      <c r="AK249" s="23">
        <f t="shared" si="236"/>
        <v>0</v>
      </c>
      <c r="AL249" s="23">
        <f t="shared" si="237"/>
        <v>0</v>
      </c>
      <c r="AN249" s="23">
        <v>21</v>
      </c>
      <c r="AO249" s="23">
        <f>G249*0.205168776</f>
        <v>0</v>
      </c>
      <c r="AP249" s="23">
        <f>G249*(1-0.205168776)</f>
        <v>0</v>
      </c>
      <c r="AQ249" s="25" t="s">
        <v>65</v>
      </c>
      <c r="AV249" s="23">
        <f t="shared" si="238"/>
        <v>0</v>
      </c>
      <c r="AW249" s="23">
        <f t="shared" si="239"/>
        <v>0</v>
      </c>
      <c r="AX249" s="23">
        <f t="shared" si="240"/>
        <v>0</v>
      </c>
      <c r="AY249" s="25" t="s">
        <v>740</v>
      </c>
      <c r="AZ249" s="25" t="s">
        <v>565</v>
      </c>
      <c r="BA249" s="8" t="s">
        <v>62</v>
      </c>
      <c r="BC249" s="23">
        <f t="shared" si="241"/>
        <v>0</v>
      </c>
      <c r="BD249" s="23">
        <f t="shared" si="242"/>
        <v>0</v>
      </c>
      <c r="BE249" s="23">
        <v>0</v>
      </c>
      <c r="BF249" s="23">
        <f>249</f>
        <v>249</v>
      </c>
      <c r="BH249" s="23">
        <f t="shared" si="243"/>
        <v>0</v>
      </c>
      <c r="BI249" s="23">
        <f t="shared" si="244"/>
        <v>0</v>
      </c>
      <c r="BJ249" s="23">
        <f t="shared" si="245"/>
        <v>0</v>
      </c>
      <c r="BK249" s="23"/>
      <c r="BL249" s="23"/>
      <c r="BW249" s="23">
        <v>21</v>
      </c>
    </row>
    <row r="250" spans="1:75" ht="13.5" customHeight="1" x14ac:dyDescent="0.25">
      <c r="A250" s="2" t="s">
        <v>750</v>
      </c>
      <c r="B250" s="3" t="s">
        <v>751</v>
      </c>
      <c r="C250" s="80" t="s">
        <v>752</v>
      </c>
      <c r="D250" s="75"/>
      <c r="E250" s="3" t="s">
        <v>68</v>
      </c>
      <c r="F250" s="23">
        <v>1</v>
      </c>
      <c r="G250" s="23">
        <v>0</v>
      </c>
      <c r="H250" s="23">
        <f t="shared" si="224"/>
        <v>0</v>
      </c>
      <c r="I250" s="23">
        <f t="shared" si="225"/>
        <v>0</v>
      </c>
      <c r="J250" s="23">
        <f t="shared" si="226"/>
        <v>0</v>
      </c>
      <c r="K250" s="23">
        <v>0</v>
      </c>
      <c r="L250" s="24">
        <v>0</v>
      </c>
      <c r="Z250" s="23">
        <f t="shared" si="227"/>
        <v>0</v>
      </c>
      <c r="AB250" s="23">
        <f t="shared" si="228"/>
        <v>0</v>
      </c>
      <c r="AC250" s="23">
        <f t="shared" si="229"/>
        <v>0</v>
      </c>
      <c r="AD250" s="23">
        <f t="shared" si="230"/>
        <v>0</v>
      </c>
      <c r="AE250" s="23">
        <f t="shared" si="231"/>
        <v>0</v>
      </c>
      <c r="AF250" s="23">
        <f t="shared" si="232"/>
        <v>0</v>
      </c>
      <c r="AG250" s="23">
        <f t="shared" si="233"/>
        <v>0</v>
      </c>
      <c r="AH250" s="23">
        <f t="shared" si="234"/>
        <v>0</v>
      </c>
      <c r="AI250" s="8" t="s">
        <v>53</v>
      </c>
      <c r="AJ250" s="23">
        <f t="shared" si="235"/>
        <v>0</v>
      </c>
      <c r="AK250" s="23">
        <f t="shared" si="236"/>
        <v>0</v>
      </c>
      <c r="AL250" s="23">
        <f t="shared" si="237"/>
        <v>0</v>
      </c>
      <c r="AN250" s="23">
        <v>21</v>
      </c>
      <c r="AO250" s="23">
        <f>G250*0.73147257</f>
        <v>0</v>
      </c>
      <c r="AP250" s="23">
        <f>G250*(1-0.73147257)</f>
        <v>0</v>
      </c>
      <c r="AQ250" s="25" t="s">
        <v>65</v>
      </c>
      <c r="AV250" s="23">
        <f t="shared" si="238"/>
        <v>0</v>
      </c>
      <c r="AW250" s="23">
        <f t="shared" si="239"/>
        <v>0</v>
      </c>
      <c r="AX250" s="23">
        <f t="shared" si="240"/>
        <v>0</v>
      </c>
      <c r="AY250" s="25" t="s">
        <v>740</v>
      </c>
      <c r="AZ250" s="25" t="s">
        <v>565</v>
      </c>
      <c r="BA250" s="8" t="s">
        <v>62</v>
      </c>
      <c r="BC250" s="23">
        <f t="shared" si="241"/>
        <v>0</v>
      </c>
      <c r="BD250" s="23">
        <f t="shared" si="242"/>
        <v>0</v>
      </c>
      <c r="BE250" s="23">
        <v>0</v>
      </c>
      <c r="BF250" s="23">
        <f>250</f>
        <v>250</v>
      </c>
      <c r="BH250" s="23">
        <f t="shared" si="243"/>
        <v>0</v>
      </c>
      <c r="BI250" s="23">
        <f t="shared" si="244"/>
        <v>0</v>
      </c>
      <c r="BJ250" s="23">
        <f t="shared" si="245"/>
        <v>0</v>
      </c>
      <c r="BK250" s="23"/>
      <c r="BL250" s="23"/>
      <c r="BW250" s="23">
        <v>21</v>
      </c>
    </row>
    <row r="251" spans="1:75" ht="13.5" customHeight="1" x14ac:dyDescent="0.25">
      <c r="A251" s="2" t="s">
        <v>753</v>
      </c>
      <c r="B251" s="3" t="s">
        <v>754</v>
      </c>
      <c r="C251" s="80" t="s">
        <v>755</v>
      </c>
      <c r="D251" s="75"/>
      <c r="E251" s="3" t="s">
        <v>68</v>
      </c>
      <c r="F251" s="23">
        <v>1</v>
      </c>
      <c r="G251" s="23">
        <v>0</v>
      </c>
      <c r="H251" s="23">
        <f t="shared" si="224"/>
        <v>0</v>
      </c>
      <c r="I251" s="23">
        <f t="shared" si="225"/>
        <v>0</v>
      </c>
      <c r="J251" s="23">
        <f t="shared" si="226"/>
        <v>0</v>
      </c>
      <c r="K251" s="23">
        <v>0</v>
      </c>
      <c r="L251" s="24">
        <v>0</v>
      </c>
      <c r="Z251" s="23">
        <f t="shared" si="227"/>
        <v>0</v>
      </c>
      <c r="AB251" s="23">
        <f t="shared" si="228"/>
        <v>0</v>
      </c>
      <c r="AC251" s="23">
        <f t="shared" si="229"/>
        <v>0</v>
      </c>
      <c r="AD251" s="23">
        <f t="shared" si="230"/>
        <v>0</v>
      </c>
      <c r="AE251" s="23">
        <f t="shared" si="231"/>
        <v>0</v>
      </c>
      <c r="AF251" s="23">
        <f t="shared" si="232"/>
        <v>0</v>
      </c>
      <c r="AG251" s="23">
        <f t="shared" si="233"/>
        <v>0</v>
      </c>
      <c r="AH251" s="23">
        <f t="shared" si="234"/>
        <v>0</v>
      </c>
      <c r="AI251" s="8" t="s">
        <v>53</v>
      </c>
      <c r="AJ251" s="23">
        <f t="shared" si="235"/>
        <v>0</v>
      </c>
      <c r="AK251" s="23">
        <f t="shared" si="236"/>
        <v>0</v>
      </c>
      <c r="AL251" s="23">
        <f t="shared" si="237"/>
        <v>0</v>
      </c>
      <c r="AN251" s="23">
        <v>21</v>
      </c>
      <c r="AO251" s="23">
        <f>G251*0.415617128</f>
        <v>0</v>
      </c>
      <c r="AP251" s="23">
        <f>G251*(1-0.415617128)</f>
        <v>0</v>
      </c>
      <c r="AQ251" s="25" t="s">
        <v>65</v>
      </c>
      <c r="AV251" s="23">
        <f t="shared" si="238"/>
        <v>0</v>
      </c>
      <c r="AW251" s="23">
        <f t="shared" si="239"/>
        <v>0</v>
      </c>
      <c r="AX251" s="23">
        <f t="shared" si="240"/>
        <v>0</v>
      </c>
      <c r="AY251" s="25" t="s">
        <v>740</v>
      </c>
      <c r="AZ251" s="25" t="s">
        <v>565</v>
      </c>
      <c r="BA251" s="8" t="s">
        <v>62</v>
      </c>
      <c r="BC251" s="23">
        <f t="shared" si="241"/>
        <v>0</v>
      </c>
      <c r="BD251" s="23">
        <f t="shared" si="242"/>
        <v>0</v>
      </c>
      <c r="BE251" s="23">
        <v>0</v>
      </c>
      <c r="BF251" s="23">
        <f>251</f>
        <v>251</v>
      </c>
      <c r="BH251" s="23">
        <f t="shared" si="243"/>
        <v>0</v>
      </c>
      <c r="BI251" s="23">
        <f t="shared" si="244"/>
        <v>0</v>
      </c>
      <c r="BJ251" s="23">
        <f t="shared" si="245"/>
        <v>0</v>
      </c>
      <c r="BK251" s="23"/>
      <c r="BL251" s="23"/>
      <c r="BW251" s="23">
        <v>21</v>
      </c>
    </row>
    <row r="252" spans="1:75" ht="13.5" customHeight="1" x14ac:dyDescent="0.25">
      <c r="A252" s="2" t="s">
        <v>756</v>
      </c>
      <c r="B252" s="3" t="s">
        <v>748</v>
      </c>
      <c r="C252" s="80" t="s">
        <v>757</v>
      </c>
      <c r="D252" s="75"/>
      <c r="E252" s="3" t="s">
        <v>68</v>
      </c>
      <c r="F252" s="23">
        <v>1</v>
      </c>
      <c r="G252" s="23">
        <v>0</v>
      </c>
      <c r="H252" s="23">
        <f t="shared" si="224"/>
        <v>0</v>
      </c>
      <c r="I252" s="23">
        <f t="shared" si="225"/>
        <v>0</v>
      </c>
      <c r="J252" s="23">
        <f t="shared" si="226"/>
        <v>0</v>
      </c>
      <c r="K252" s="23">
        <v>2.0000000000000001E-4</v>
      </c>
      <c r="L252" s="24">
        <v>2.0000000000000001E-4</v>
      </c>
      <c r="Z252" s="23">
        <f t="shared" si="227"/>
        <v>0</v>
      </c>
      <c r="AB252" s="23">
        <f t="shared" si="228"/>
        <v>0</v>
      </c>
      <c r="AC252" s="23">
        <f t="shared" si="229"/>
        <v>0</v>
      </c>
      <c r="AD252" s="23">
        <f t="shared" si="230"/>
        <v>0</v>
      </c>
      <c r="AE252" s="23">
        <f t="shared" si="231"/>
        <v>0</v>
      </c>
      <c r="AF252" s="23">
        <f t="shared" si="232"/>
        <v>0</v>
      </c>
      <c r="AG252" s="23">
        <f t="shared" si="233"/>
        <v>0</v>
      </c>
      <c r="AH252" s="23">
        <f t="shared" si="234"/>
        <v>0</v>
      </c>
      <c r="AI252" s="8" t="s">
        <v>53</v>
      </c>
      <c r="AJ252" s="23">
        <f t="shared" si="235"/>
        <v>0</v>
      </c>
      <c r="AK252" s="23">
        <f t="shared" si="236"/>
        <v>0</v>
      </c>
      <c r="AL252" s="23">
        <f t="shared" si="237"/>
        <v>0</v>
      </c>
      <c r="AN252" s="23">
        <v>21</v>
      </c>
      <c r="AO252" s="23">
        <f>G252*0.340116279</f>
        <v>0</v>
      </c>
      <c r="AP252" s="23">
        <f>G252*(1-0.340116279)</f>
        <v>0</v>
      </c>
      <c r="AQ252" s="25" t="s">
        <v>65</v>
      </c>
      <c r="AV252" s="23">
        <f t="shared" si="238"/>
        <v>0</v>
      </c>
      <c r="AW252" s="23">
        <f t="shared" si="239"/>
        <v>0</v>
      </c>
      <c r="AX252" s="23">
        <f t="shared" si="240"/>
        <v>0</v>
      </c>
      <c r="AY252" s="25" t="s">
        <v>740</v>
      </c>
      <c r="AZ252" s="25" t="s">
        <v>565</v>
      </c>
      <c r="BA252" s="8" t="s">
        <v>62</v>
      </c>
      <c r="BC252" s="23">
        <f t="shared" si="241"/>
        <v>0</v>
      </c>
      <c r="BD252" s="23">
        <f t="shared" si="242"/>
        <v>0</v>
      </c>
      <c r="BE252" s="23">
        <v>0</v>
      </c>
      <c r="BF252" s="23">
        <f>252</f>
        <v>252</v>
      </c>
      <c r="BH252" s="23">
        <f t="shared" si="243"/>
        <v>0</v>
      </c>
      <c r="BI252" s="23">
        <f t="shared" si="244"/>
        <v>0</v>
      </c>
      <c r="BJ252" s="23">
        <f t="shared" si="245"/>
        <v>0</v>
      </c>
      <c r="BK252" s="23"/>
      <c r="BL252" s="23"/>
      <c r="BW252" s="23">
        <v>21</v>
      </c>
    </row>
    <row r="253" spans="1:75" ht="13.5" customHeight="1" x14ac:dyDescent="0.25">
      <c r="A253" s="2" t="s">
        <v>758</v>
      </c>
      <c r="B253" s="3" t="s">
        <v>748</v>
      </c>
      <c r="C253" s="80" t="s">
        <v>759</v>
      </c>
      <c r="D253" s="75"/>
      <c r="E253" s="3" t="s">
        <v>68</v>
      </c>
      <c r="F253" s="23">
        <v>1</v>
      </c>
      <c r="G253" s="23">
        <v>0</v>
      </c>
      <c r="H253" s="23">
        <f t="shared" si="224"/>
        <v>0</v>
      </c>
      <c r="I253" s="23">
        <f t="shared" si="225"/>
        <v>0</v>
      </c>
      <c r="J253" s="23">
        <f t="shared" si="226"/>
        <v>0</v>
      </c>
      <c r="K253" s="23">
        <v>2.0000000000000001E-4</v>
      </c>
      <c r="L253" s="24">
        <v>2.0000000000000001E-4</v>
      </c>
      <c r="Z253" s="23">
        <f t="shared" si="227"/>
        <v>0</v>
      </c>
      <c r="AB253" s="23">
        <f t="shared" si="228"/>
        <v>0</v>
      </c>
      <c r="AC253" s="23">
        <f t="shared" si="229"/>
        <v>0</v>
      </c>
      <c r="AD253" s="23">
        <f t="shared" si="230"/>
        <v>0</v>
      </c>
      <c r="AE253" s="23">
        <f t="shared" si="231"/>
        <v>0</v>
      </c>
      <c r="AF253" s="23">
        <f t="shared" si="232"/>
        <v>0</v>
      </c>
      <c r="AG253" s="23">
        <f t="shared" si="233"/>
        <v>0</v>
      </c>
      <c r="AH253" s="23">
        <f t="shared" si="234"/>
        <v>0</v>
      </c>
      <c r="AI253" s="8" t="s">
        <v>53</v>
      </c>
      <c r="AJ253" s="23">
        <f t="shared" si="235"/>
        <v>0</v>
      </c>
      <c r="AK253" s="23">
        <f t="shared" si="236"/>
        <v>0</v>
      </c>
      <c r="AL253" s="23">
        <f t="shared" si="237"/>
        <v>0</v>
      </c>
      <c r="AN253" s="23">
        <v>21</v>
      </c>
      <c r="AO253" s="23">
        <f>G253*0.340116279</f>
        <v>0</v>
      </c>
      <c r="AP253" s="23">
        <f>G253*(1-0.340116279)</f>
        <v>0</v>
      </c>
      <c r="AQ253" s="25" t="s">
        <v>65</v>
      </c>
      <c r="AV253" s="23">
        <f t="shared" si="238"/>
        <v>0</v>
      </c>
      <c r="AW253" s="23">
        <f t="shared" si="239"/>
        <v>0</v>
      </c>
      <c r="AX253" s="23">
        <f t="shared" si="240"/>
        <v>0</v>
      </c>
      <c r="AY253" s="25" t="s">
        <v>740</v>
      </c>
      <c r="AZ253" s="25" t="s">
        <v>565</v>
      </c>
      <c r="BA253" s="8" t="s">
        <v>62</v>
      </c>
      <c r="BC253" s="23">
        <f t="shared" si="241"/>
        <v>0</v>
      </c>
      <c r="BD253" s="23">
        <f t="shared" si="242"/>
        <v>0</v>
      </c>
      <c r="BE253" s="23">
        <v>0</v>
      </c>
      <c r="BF253" s="23">
        <f>253</f>
        <v>253</v>
      </c>
      <c r="BH253" s="23">
        <f t="shared" si="243"/>
        <v>0</v>
      </c>
      <c r="BI253" s="23">
        <f t="shared" si="244"/>
        <v>0</v>
      </c>
      <c r="BJ253" s="23">
        <f t="shared" si="245"/>
        <v>0</v>
      </c>
      <c r="BK253" s="23"/>
      <c r="BL253" s="23"/>
      <c r="BW253" s="23">
        <v>21</v>
      </c>
    </row>
    <row r="254" spans="1:75" ht="13.5" customHeight="1" x14ac:dyDescent="0.25">
      <c r="A254" s="2" t="s">
        <v>760</v>
      </c>
      <c r="B254" s="3" t="s">
        <v>748</v>
      </c>
      <c r="C254" s="80" t="s">
        <v>761</v>
      </c>
      <c r="D254" s="75"/>
      <c r="E254" s="3" t="s">
        <v>68</v>
      </c>
      <c r="F254" s="23">
        <v>4</v>
      </c>
      <c r="G254" s="23">
        <v>0</v>
      </c>
      <c r="H254" s="23">
        <f t="shared" si="224"/>
        <v>0</v>
      </c>
      <c r="I254" s="23">
        <f t="shared" si="225"/>
        <v>0</v>
      </c>
      <c r="J254" s="23">
        <f t="shared" si="226"/>
        <v>0</v>
      </c>
      <c r="K254" s="23">
        <v>2.0000000000000001E-4</v>
      </c>
      <c r="L254" s="24">
        <v>2.0000000000000001E-4</v>
      </c>
      <c r="Z254" s="23">
        <f t="shared" si="227"/>
        <v>0</v>
      </c>
      <c r="AB254" s="23">
        <f t="shared" si="228"/>
        <v>0</v>
      </c>
      <c r="AC254" s="23">
        <f t="shared" si="229"/>
        <v>0</v>
      </c>
      <c r="AD254" s="23">
        <f t="shared" si="230"/>
        <v>0</v>
      </c>
      <c r="AE254" s="23">
        <f t="shared" si="231"/>
        <v>0</v>
      </c>
      <c r="AF254" s="23">
        <f t="shared" si="232"/>
        <v>0</v>
      </c>
      <c r="AG254" s="23">
        <f t="shared" si="233"/>
        <v>0</v>
      </c>
      <c r="AH254" s="23">
        <f t="shared" si="234"/>
        <v>0</v>
      </c>
      <c r="AI254" s="8" t="s">
        <v>53</v>
      </c>
      <c r="AJ254" s="23">
        <f t="shared" si="235"/>
        <v>0</v>
      </c>
      <c r="AK254" s="23">
        <f t="shared" si="236"/>
        <v>0</v>
      </c>
      <c r="AL254" s="23">
        <f t="shared" si="237"/>
        <v>0</v>
      </c>
      <c r="AN254" s="23">
        <v>21</v>
      </c>
      <c r="AO254" s="23">
        <f>G254*0.340363636</f>
        <v>0</v>
      </c>
      <c r="AP254" s="23">
        <f>G254*(1-0.340363636)</f>
        <v>0</v>
      </c>
      <c r="AQ254" s="25" t="s">
        <v>65</v>
      </c>
      <c r="AV254" s="23">
        <f t="shared" si="238"/>
        <v>0</v>
      </c>
      <c r="AW254" s="23">
        <f t="shared" si="239"/>
        <v>0</v>
      </c>
      <c r="AX254" s="23">
        <f t="shared" si="240"/>
        <v>0</v>
      </c>
      <c r="AY254" s="25" t="s">
        <v>740</v>
      </c>
      <c r="AZ254" s="25" t="s">
        <v>565</v>
      </c>
      <c r="BA254" s="8" t="s">
        <v>62</v>
      </c>
      <c r="BC254" s="23">
        <f t="shared" si="241"/>
        <v>0</v>
      </c>
      <c r="BD254" s="23">
        <f t="shared" si="242"/>
        <v>0</v>
      </c>
      <c r="BE254" s="23">
        <v>0</v>
      </c>
      <c r="BF254" s="23">
        <f>254</f>
        <v>254</v>
      </c>
      <c r="BH254" s="23">
        <f t="shared" si="243"/>
        <v>0</v>
      </c>
      <c r="BI254" s="23">
        <f t="shared" si="244"/>
        <v>0</v>
      </c>
      <c r="BJ254" s="23">
        <f t="shared" si="245"/>
        <v>0</v>
      </c>
      <c r="BK254" s="23"/>
      <c r="BL254" s="23"/>
      <c r="BW254" s="23">
        <v>21</v>
      </c>
    </row>
    <row r="255" spans="1:75" ht="13.5" customHeight="1" x14ac:dyDescent="0.25">
      <c r="A255" s="2" t="s">
        <v>762</v>
      </c>
      <c r="B255" s="3" t="s">
        <v>748</v>
      </c>
      <c r="C255" s="80" t="s">
        <v>763</v>
      </c>
      <c r="D255" s="75"/>
      <c r="E255" s="3" t="s">
        <v>68</v>
      </c>
      <c r="F255" s="23">
        <v>4</v>
      </c>
      <c r="G255" s="23">
        <v>0</v>
      </c>
      <c r="H255" s="23">
        <f t="shared" si="224"/>
        <v>0</v>
      </c>
      <c r="I255" s="23">
        <f t="shared" si="225"/>
        <v>0</v>
      </c>
      <c r="J255" s="23">
        <f t="shared" si="226"/>
        <v>0</v>
      </c>
      <c r="K255" s="23">
        <v>2.0000000000000001E-4</v>
      </c>
      <c r="L255" s="24">
        <v>2.0000000000000001E-4</v>
      </c>
      <c r="Z255" s="23">
        <f t="shared" si="227"/>
        <v>0</v>
      </c>
      <c r="AB255" s="23">
        <f t="shared" si="228"/>
        <v>0</v>
      </c>
      <c r="AC255" s="23">
        <f t="shared" si="229"/>
        <v>0</v>
      </c>
      <c r="AD255" s="23">
        <f t="shared" si="230"/>
        <v>0</v>
      </c>
      <c r="AE255" s="23">
        <f t="shared" si="231"/>
        <v>0</v>
      </c>
      <c r="AF255" s="23">
        <f t="shared" si="232"/>
        <v>0</v>
      </c>
      <c r="AG255" s="23">
        <f t="shared" si="233"/>
        <v>0</v>
      </c>
      <c r="AH255" s="23">
        <f t="shared" si="234"/>
        <v>0</v>
      </c>
      <c r="AI255" s="8" t="s">
        <v>53</v>
      </c>
      <c r="AJ255" s="23">
        <f t="shared" si="235"/>
        <v>0</v>
      </c>
      <c r="AK255" s="23">
        <f t="shared" si="236"/>
        <v>0</v>
      </c>
      <c r="AL255" s="23">
        <f t="shared" si="237"/>
        <v>0</v>
      </c>
      <c r="AN255" s="23">
        <v>21</v>
      </c>
      <c r="AO255" s="23">
        <f>G255*0.425585814</f>
        <v>0</v>
      </c>
      <c r="AP255" s="23">
        <f>G255*(1-0.425585814)</f>
        <v>0</v>
      </c>
      <c r="AQ255" s="25" t="s">
        <v>65</v>
      </c>
      <c r="AV255" s="23">
        <f t="shared" si="238"/>
        <v>0</v>
      </c>
      <c r="AW255" s="23">
        <f t="shared" si="239"/>
        <v>0</v>
      </c>
      <c r="AX255" s="23">
        <f t="shared" si="240"/>
        <v>0</v>
      </c>
      <c r="AY255" s="25" t="s">
        <v>740</v>
      </c>
      <c r="AZ255" s="25" t="s">
        <v>565</v>
      </c>
      <c r="BA255" s="8" t="s">
        <v>62</v>
      </c>
      <c r="BC255" s="23">
        <f t="shared" si="241"/>
        <v>0</v>
      </c>
      <c r="BD255" s="23">
        <f t="shared" si="242"/>
        <v>0</v>
      </c>
      <c r="BE255" s="23">
        <v>0</v>
      </c>
      <c r="BF255" s="23">
        <f>255</f>
        <v>255</v>
      </c>
      <c r="BH255" s="23">
        <f t="shared" si="243"/>
        <v>0</v>
      </c>
      <c r="BI255" s="23">
        <f t="shared" si="244"/>
        <v>0</v>
      </c>
      <c r="BJ255" s="23">
        <f t="shared" si="245"/>
        <v>0</v>
      </c>
      <c r="BK255" s="23"/>
      <c r="BL255" s="23"/>
      <c r="BW255" s="23">
        <v>21</v>
      </c>
    </row>
    <row r="256" spans="1:75" ht="13.5" customHeight="1" x14ac:dyDescent="0.25">
      <c r="A256" s="2" t="s">
        <v>764</v>
      </c>
      <c r="B256" s="3" t="s">
        <v>765</v>
      </c>
      <c r="C256" s="80" t="s">
        <v>766</v>
      </c>
      <c r="D256" s="75"/>
      <c r="E256" s="3" t="s">
        <v>68</v>
      </c>
      <c r="F256" s="23">
        <v>2</v>
      </c>
      <c r="G256" s="23">
        <v>0</v>
      </c>
      <c r="H256" s="23">
        <f t="shared" si="224"/>
        <v>0</v>
      </c>
      <c r="I256" s="23">
        <f t="shared" si="225"/>
        <v>0</v>
      </c>
      <c r="J256" s="23">
        <f t="shared" si="226"/>
        <v>0</v>
      </c>
      <c r="K256" s="23">
        <v>0</v>
      </c>
      <c r="L256" s="24">
        <v>0</v>
      </c>
      <c r="Z256" s="23">
        <f t="shared" si="227"/>
        <v>0</v>
      </c>
      <c r="AB256" s="23">
        <f t="shared" si="228"/>
        <v>0</v>
      </c>
      <c r="AC256" s="23">
        <f t="shared" si="229"/>
        <v>0</v>
      </c>
      <c r="AD256" s="23">
        <f t="shared" si="230"/>
        <v>0</v>
      </c>
      <c r="AE256" s="23">
        <f t="shared" si="231"/>
        <v>0</v>
      </c>
      <c r="AF256" s="23">
        <f t="shared" si="232"/>
        <v>0</v>
      </c>
      <c r="AG256" s="23">
        <f t="shared" si="233"/>
        <v>0</v>
      </c>
      <c r="AH256" s="23">
        <f t="shared" si="234"/>
        <v>0</v>
      </c>
      <c r="AI256" s="8" t="s">
        <v>53</v>
      </c>
      <c r="AJ256" s="23">
        <f t="shared" si="235"/>
        <v>0</v>
      </c>
      <c r="AK256" s="23">
        <f t="shared" si="236"/>
        <v>0</v>
      </c>
      <c r="AL256" s="23">
        <f t="shared" si="237"/>
        <v>0</v>
      </c>
      <c r="AN256" s="23">
        <v>21</v>
      </c>
      <c r="AO256" s="23">
        <f>G256*0.610759494</f>
        <v>0</v>
      </c>
      <c r="AP256" s="23">
        <f>G256*(1-0.610759494)</f>
        <v>0</v>
      </c>
      <c r="AQ256" s="25" t="s">
        <v>65</v>
      </c>
      <c r="AV256" s="23">
        <f t="shared" si="238"/>
        <v>0</v>
      </c>
      <c r="AW256" s="23">
        <f t="shared" si="239"/>
        <v>0</v>
      </c>
      <c r="AX256" s="23">
        <f t="shared" si="240"/>
        <v>0</v>
      </c>
      <c r="AY256" s="25" t="s">
        <v>740</v>
      </c>
      <c r="AZ256" s="25" t="s">
        <v>565</v>
      </c>
      <c r="BA256" s="8" t="s">
        <v>62</v>
      </c>
      <c r="BC256" s="23">
        <f t="shared" si="241"/>
        <v>0</v>
      </c>
      <c r="BD256" s="23">
        <f t="shared" si="242"/>
        <v>0</v>
      </c>
      <c r="BE256" s="23">
        <v>0</v>
      </c>
      <c r="BF256" s="23">
        <f>256</f>
        <v>256</v>
      </c>
      <c r="BH256" s="23">
        <f t="shared" si="243"/>
        <v>0</v>
      </c>
      <c r="BI256" s="23">
        <f t="shared" si="244"/>
        <v>0</v>
      </c>
      <c r="BJ256" s="23">
        <f t="shared" si="245"/>
        <v>0</v>
      </c>
      <c r="BK256" s="23"/>
      <c r="BL256" s="23"/>
      <c r="BW256" s="23">
        <v>21</v>
      </c>
    </row>
    <row r="257" spans="1:75" ht="13.5" customHeight="1" x14ac:dyDescent="0.25">
      <c r="A257" s="2" t="s">
        <v>767</v>
      </c>
      <c r="B257" s="3" t="s">
        <v>768</v>
      </c>
      <c r="C257" s="80" t="s">
        <v>769</v>
      </c>
      <c r="D257" s="75"/>
      <c r="E257" s="3" t="s">
        <v>68</v>
      </c>
      <c r="F257" s="23">
        <v>1</v>
      </c>
      <c r="G257" s="23">
        <v>0</v>
      </c>
      <c r="H257" s="23">
        <f t="shared" si="224"/>
        <v>0</v>
      </c>
      <c r="I257" s="23">
        <f t="shared" si="225"/>
        <v>0</v>
      </c>
      <c r="J257" s="23">
        <f t="shared" si="226"/>
        <v>0</v>
      </c>
      <c r="K257" s="23">
        <v>1.8000000000000001E-4</v>
      </c>
      <c r="L257" s="24">
        <v>1.8000000000000001E-4</v>
      </c>
      <c r="Z257" s="23">
        <f t="shared" si="227"/>
        <v>0</v>
      </c>
      <c r="AB257" s="23">
        <f t="shared" si="228"/>
        <v>0</v>
      </c>
      <c r="AC257" s="23">
        <f t="shared" si="229"/>
        <v>0</v>
      </c>
      <c r="AD257" s="23">
        <f t="shared" si="230"/>
        <v>0</v>
      </c>
      <c r="AE257" s="23">
        <f t="shared" si="231"/>
        <v>0</v>
      </c>
      <c r="AF257" s="23">
        <f t="shared" si="232"/>
        <v>0</v>
      </c>
      <c r="AG257" s="23">
        <f t="shared" si="233"/>
        <v>0</v>
      </c>
      <c r="AH257" s="23">
        <f t="shared" si="234"/>
        <v>0</v>
      </c>
      <c r="AI257" s="8" t="s">
        <v>53</v>
      </c>
      <c r="AJ257" s="23">
        <f t="shared" si="235"/>
        <v>0</v>
      </c>
      <c r="AK257" s="23">
        <f t="shared" si="236"/>
        <v>0</v>
      </c>
      <c r="AL257" s="23">
        <f t="shared" si="237"/>
        <v>0</v>
      </c>
      <c r="AN257" s="23">
        <v>21</v>
      </c>
      <c r="AO257" s="23">
        <f>G257*0.398207547</f>
        <v>0</v>
      </c>
      <c r="AP257" s="23">
        <f>G257*(1-0.398207547)</f>
        <v>0</v>
      </c>
      <c r="AQ257" s="25" t="s">
        <v>65</v>
      </c>
      <c r="AV257" s="23">
        <f t="shared" si="238"/>
        <v>0</v>
      </c>
      <c r="AW257" s="23">
        <f t="shared" si="239"/>
        <v>0</v>
      </c>
      <c r="AX257" s="23">
        <f t="shared" si="240"/>
        <v>0</v>
      </c>
      <c r="AY257" s="25" t="s">
        <v>740</v>
      </c>
      <c r="AZ257" s="25" t="s">
        <v>565</v>
      </c>
      <c r="BA257" s="8" t="s">
        <v>62</v>
      </c>
      <c r="BC257" s="23">
        <f t="shared" si="241"/>
        <v>0</v>
      </c>
      <c r="BD257" s="23">
        <f t="shared" si="242"/>
        <v>0</v>
      </c>
      <c r="BE257" s="23">
        <v>0</v>
      </c>
      <c r="BF257" s="23">
        <f>257</f>
        <v>257</v>
      </c>
      <c r="BH257" s="23">
        <f t="shared" si="243"/>
        <v>0</v>
      </c>
      <c r="BI257" s="23">
        <f t="shared" si="244"/>
        <v>0</v>
      </c>
      <c r="BJ257" s="23">
        <f t="shared" si="245"/>
        <v>0</v>
      </c>
      <c r="BK257" s="23"/>
      <c r="BL257" s="23"/>
      <c r="BW257" s="23">
        <v>21</v>
      </c>
    </row>
    <row r="258" spans="1:75" ht="27" customHeight="1" x14ac:dyDescent="0.25">
      <c r="A258" s="2" t="s">
        <v>770</v>
      </c>
      <c r="B258" s="3" t="s">
        <v>771</v>
      </c>
      <c r="C258" s="80" t="s">
        <v>772</v>
      </c>
      <c r="D258" s="75"/>
      <c r="E258" s="3" t="s">
        <v>68</v>
      </c>
      <c r="F258" s="23">
        <v>1</v>
      </c>
      <c r="G258" s="23">
        <v>0</v>
      </c>
      <c r="H258" s="23">
        <f t="shared" si="224"/>
        <v>0</v>
      </c>
      <c r="I258" s="23">
        <f t="shared" si="225"/>
        <v>0</v>
      </c>
      <c r="J258" s="23">
        <f t="shared" si="226"/>
        <v>0</v>
      </c>
      <c r="K258" s="23">
        <v>0.01</v>
      </c>
      <c r="L258" s="24">
        <v>0.01</v>
      </c>
      <c r="Z258" s="23">
        <f t="shared" si="227"/>
        <v>0</v>
      </c>
      <c r="AB258" s="23">
        <f t="shared" si="228"/>
        <v>0</v>
      </c>
      <c r="AC258" s="23">
        <f t="shared" si="229"/>
        <v>0</v>
      </c>
      <c r="AD258" s="23">
        <f t="shared" si="230"/>
        <v>0</v>
      </c>
      <c r="AE258" s="23">
        <f t="shared" si="231"/>
        <v>0</v>
      </c>
      <c r="AF258" s="23">
        <f t="shared" si="232"/>
        <v>0</v>
      </c>
      <c r="AG258" s="23">
        <f t="shared" si="233"/>
        <v>0</v>
      </c>
      <c r="AH258" s="23">
        <f t="shared" si="234"/>
        <v>0</v>
      </c>
      <c r="AI258" s="8" t="s">
        <v>53</v>
      </c>
      <c r="AJ258" s="23">
        <f t="shared" si="235"/>
        <v>0</v>
      </c>
      <c r="AK258" s="23">
        <f t="shared" si="236"/>
        <v>0</v>
      </c>
      <c r="AL258" s="23">
        <f t="shared" si="237"/>
        <v>0</v>
      </c>
      <c r="AN258" s="23">
        <v>21</v>
      </c>
      <c r="AO258" s="23">
        <f>G258*0.098029135</f>
        <v>0</v>
      </c>
      <c r="AP258" s="23">
        <f>G258*(1-0.098029135)</f>
        <v>0</v>
      </c>
      <c r="AQ258" s="25" t="s">
        <v>65</v>
      </c>
      <c r="AV258" s="23">
        <f t="shared" si="238"/>
        <v>0</v>
      </c>
      <c r="AW258" s="23">
        <f t="shared" si="239"/>
        <v>0</v>
      </c>
      <c r="AX258" s="23">
        <f t="shared" si="240"/>
        <v>0</v>
      </c>
      <c r="AY258" s="25" t="s">
        <v>740</v>
      </c>
      <c r="AZ258" s="25" t="s">
        <v>565</v>
      </c>
      <c r="BA258" s="8" t="s">
        <v>62</v>
      </c>
      <c r="BC258" s="23">
        <f t="shared" si="241"/>
        <v>0</v>
      </c>
      <c r="BD258" s="23">
        <f t="shared" si="242"/>
        <v>0</v>
      </c>
      <c r="BE258" s="23">
        <v>0</v>
      </c>
      <c r="BF258" s="23">
        <f>258</f>
        <v>258</v>
      </c>
      <c r="BH258" s="23">
        <f t="shared" si="243"/>
        <v>0</v>
      </c>
      <c r="BI258" s="23">
        <f t="shared" si="244"/>
        <v>0</v>
      </c>
      <c r="BJ258" s="23">
        <f t="shared" si="245"/>
        <v>0</v>
      </c>
      <c r="BK258" s="23"/>
      <c r="BL258" s="23"/>
      <c r="BW258" s="23">
        <v>21</v>
      </c>
    </row>
    <row r="259" spans="1:75" ht="13.5" customHeight="1" x14ac:dyDescent="0.25">
      <c r="A259" s="2" t="s">
        <v>773</v>
      </c>
      <c r="B259" s="3" t="s">
        <v>774</v>
      </c>
      <c r="C259" s="80" t="s">
        <v>775</v>
      </c>
      <c r="D259" s="75"/>
      <c r="E259" s="3" t="s">
        <v>68</v>
      </c>
      <c r="F259" s="23">
        <v>1</v>
      </c>
      <c r="G259" s="23">
        <v>0</v>
      </c>
      <c r="H259" s="23">
        <f t="shared" si="224"/>
        <v>0</v>
      </c>
      <c r="I259" s="23">
        <f t="shared" si="225"/>
        <v>0</v>
      </c>
      <c r="J259" s="23">
        <f t="shared" si="226"/>
        <v>0</v>
      </c>
      <c r="K259" s="23">
        <v>1E-3</v>
      </c>
      <c r="L259" s="24">
        <v>1E-3</v>
      </c>
      <c r="Z259" s="23">
        <f t="shared" si="227"/>
        <v>0</v>
      </c>
      <c r="AB259" s="23">
        <f t="shared" si="228"/>
        <v>0</v>
      </c>
      <c r="AC259" s="23">
        <f t="shared" si="229"/>
        <v>0</v>
      </c>
      <c r="AD259" s="23">
        <f t="shared" si="230"/>
        <v>0</v>
      </c>
      <c r="AE259" s="23">
        <f t="shared" si="231"/>
        <v>0</v>
      </c>
      <c r="AF259" s="23">
        <f t="shared" si="232"/>
        <v>0</v>
      </c>
      <c r="AG259" s="23">
        <f t="shared" si="233"/>
        <v>0</v>
      </c>
      <c r="AH259" s="23">
        <f t="shared" si="234"/>
        <v>0</v>
      </c>
      <c r="AI259" s="8" t="s">
        <v>53</v>
      </c>
      <c r="AJ259" s="23">
        <f t="shared" si="235"/>
        <v>0</v>
      </c>
      <c r="AK259" s="23">
        <f t="shared" si="236"/>
        <v>0</v>
      </c>
      <c r="AL259" s="23">
        <f t="shared" si="237"/>
        <v>0</v>
      </c>
      <c r="AN259" s="23">
        <v>21</v>
      </c>
      <c r="AO259" s="23">
        <f>G259*1</f>
        <v>0</v>
      </c>
      <c r="AP259" s="23">
        <f>G259*(1-1)</f>
        <v>0</v>
      </c>
      <c r="AQ259" s="25" t="s">
        <v>56</v>
      </c>
      <c r="AV259" s="23">
        <f t="shared" si="238"/>
        <v>0</v>
      </c>
      <c r="AW259" s="23">
        <f t="shared" si="239"/>
        <v>0</v>
      </c>
      <c r="AX259" s="23">
        <f t="shared" si="240"/>
        <v>0</v>
      </c>
      <c r="AY259" s="25" t="s">
        <v>740</v>
      </c>
      <c r="AZ259" s="25" t="s">
        <v>565</v>
      </c>
      <c r="BA259" s="8" t="s">
        <v>62</v>
      </c>
      <c r="BC259" s="23">
        <f t="shared" si="241"/>
        <v>0</v>
      </c>
      <c r="BD259" s="23">
        <f t="shared" si="242"/>
        <v>0</v>
      </c>
      <c r="BE259" s="23">
        <v>0</v>
      </c>
      <c r="BF259" s="23">
        <f>259</f>
        <v>259</v>
      </c>
      <c r="BH259" s="23">
        <f t="shared" si="243"/>
        <v>0</v>
      </c>
      <c r="BI259" s="23">
        <f t="shared" si="244"/>
        <v>0</v>
      </c>
      <c r="BJ259" s="23">
        <f t="shared" si="245"/>
        <v>0</v>
      </c>
      <c r="BK259" s="23"/>
      <c r="BL259" s="23"/>
      <c r="BW259" s="23">
        <v>21</v>
      </c>
    </row>
    <row r="260" spans="1:75" ht="13.5" customHeight="1" x14ac:dyDescent="0.25">
      <c r="A260" s="2" t="s">
        <v>776</v>
      </c>
      <c r="B260" s="3" t="s">
        <v>777</v>
      </c>
      <c r="C260" s="80" t="s">
        <v>778</v>
      </c>
      <c r="D260" s="75"/>
      <c r="E260" s="3" t="s">
        <v>68</v>
      </c>
      <c r="F260" s="23">
        <v>1</v>
      </c>
      <c r="G260" s="23">
        <v>0</v>
      </c>
      <c r="H260" s="23">
        <f t="shared" si="224"/>
        <v>0</v>
      </c>
      <c r="I260" s="23">
        <f t="shared" si="225"/>
        <v>0</v>
      </c>
      <c r="J260" s="23">
        <f t="shared" si="226"/>
        <v>0</v>
      </c>
      <c r="K260" s="23">
        <v>1E-3</v>
      </c>
      <c r="L260" s="24">
        <v>1E-3</v>
      </c>
      <c r="Z260" s="23">
        <f t="shared" si="227"/>
        <v>0</v>
      </c>
      <c r="AB260" s="23">
        <f t="shared" si="228"/>
        <v>0</v>
      </c>
      <c r="AC260" s="23">
        <f t="shared" si="229"/>
        <v>0</v>
      </c>
      <c r="AD260" s="23">
        <f t="shared" si="230"/>
        <v>0</v>
      </c>
      <c r="AE260" s="23">
        <f t="shared" si="231"/>
        <v>0</v>
      </c>
      <c r="AF260" s="23">
        <f t="shared" si="232"/>
        <v>0</v>
      </c>
      <c r="AG260" s="23">
        <f t="shared" si="233"/>
        <v>0</v>
      </c>
      <c r="AH260" s="23">
        <f t="shared" si="234"/>
        <v>0</v>
      </c>
      <c r="AI260" s="8" t="s">
        <v>53</v>
      </c>
      <c r="AJ260" s="23">
        <f t="shared" si="235"/>
        <v>0</v>
      </c>
      <c r="AK260" s="23">
        <f t="shared" si="236"/>
        <v>0</v>
      </c>
      <c r="AL260" s="23">
        <f t="shared" si="237"/>
        <v>0</v>
      </c>
      <c r="AN260" s="23">
        <v>21</v>
      </c>
      <c r="AO260" s="23">
        <f>G260*1</f>
        <v>0</v>
      </c>
      <c r="AP260" s="23">
        <f>G260*(1-1)</f>
        <v>0</v>
      </c>
      <c r="AQ260" s="25" t="s">
        <v>56</v>
      </c>
      <c r="AV260" s="23">
        <f t="shared" si="238"/>
        <v>0</v>
      </c>
      <c r="AW260" s="23">
        <f t="shared" si="239"/>
        <v>0</v>
      </c>
      <c r="AX260" s="23">
        <f t="shared" si="240"/>
        <v>0</v>
      </c>
      <c r="AY260" s="25" t="s">
        <v>740</v>
      </c>
      <c r="AZ260" s="25" t="s">
        <v>565</v>
      </c>
      <c r="BA260" s="8" t="s">
        <v>62</v>
      </c>
      <c r="BC260" s="23">
        <f t="shared" si="241"/>
        <v>0</v>
      </c>
      <c r="BD260" s="23">
        <f t="shared" si="242"/>
        <v>0</v>
      </c>
      <c r="BE260" s="23">
        <v>0</v>
      </c>
      <c r="BF260" s="23">
        <f>260</f>
        <v>260</v>
      </c>
      <c r="BH260" s="23">
        <f t="shared" si="243"/>
        <v>0</v>
      </c>
      <c r="BI260" s="23">
        <f t="shared" si="244"/>
        <v>0</v>
      </c>
      <c r="BJ260" s="23">
        <f t="shared" si="245"/>
        <v>0</v>
      </c>
      <c r="BK260" s="23"/>
      <c r="BL260" s="23"/>
      <c r="BW260" s="23">
        <v>21</v>
      </c>
    </row>
    <row r="261" spans="1:75" ht="13.5" customHeight="1" x14ac:dyDescent="0.25">
      <c r="A261" s="2" t="s">
        <v>779</v>
      </c>
      <c r="B261" s="3" t="s">
        <v>780</v>
      </c>
      <c r="C261" s="80" t="s">
        <v>781</v>
      </c>
      <c r="D261" s="75"/>
      <c r="E261" s="3" t="s">
        <v>68</v>
      </c>
      <c r="F261" s="23">
        <v>1</v>
      </c>
      <c r="G261" s="23">
        <v>0</v>
      </c>
      <c r="H261" s="23">
        <f t="shared" si="224"/>
        <v>0</v>
      </c>
      <c r="I261" s="23">
        <f t="shared" si="225"/>
        <v>0</v>
      </c>
      <c r="J261" s="23">
        <f t="shared" si="226"/>
        <v>0</v>
      </c>
      <c r="K261" s="23">
        <v>2E-3</v>
      </c>
      <c r="L261" s="24">
        <v>2E-3</v>
      </c>
      <c r="Z261" s="23">
        <f t="shared" si="227"/>
        <v>0</v>
      </c>
      <c r="AB261" s="23">
        <f t="shared" si="228"/>
        <v>0</v>
      </c>
      <c r="AC261" s="23">
        <f t="shared" si="229"/>
        <v>0</v>
      </c>
      <c r="AD261" s="23">
        <f t="shared" si="230"/>
        <v>0</v>
      </c>
      <c r="AE261" s="23">
        <f t="shared" si="231"/>
        <v>0</v>
      </c>
      <c r="AF261" s="23">
        <f t="shared" si="232"/>
        <v>0</v>
      </c>
      <c r="AG261" s="23">
        <f t="shared" si="233"/>
        <v>0</v>
      </c>
      <c r="AH261" s="23">
        <f t="shared" si="234"/>
        <v>0</v>
      </c>
      <c r="AI261" s="8" t="s">
        <v>53</v>
      </c>
      <c r="AJ261" s="23">
        <f t="shared" si="235"/>
        <v>0</v>
      </c>
      <c r="AK261" s="23">
        <f t="shared" si="236"/>
        <v>0</v>
      </c>
      <c r="AL261" s="23">
        <f t="shared" si="237"/>
        <v>0</v>
      </c>
      <c r="AN261" s="23">
        <v>21</v>
      </c>
      <c r="AO261" s="23">
        <f>G261*1</f>
        <v>0</v>
      </c>
      <c r="AP261" s="23">
        <f>G261*(1-1)</f>
        <v>0</v>
      </c>
      <c r="AQ261" s="25" t="s">
        <v>56</v>
      </c>
      <c r="AV261" s="23">
        <f t="shared" si="238"/>
        <v>0</v>
      </c>
      <c r="AW261" s="23">
        <f t="shared" si="239"/>
        <v>0</v>
      </c>
      <c r="AX261" s="23">
        <f t="shared" si="240"/>
        <v>0</v>
      </c>
      <c r="AY261" s="25" t="s">
        <v>740</v>
      </c>
      <c r="AZ261" s="25" t="s">
        <v>565</v>
      </c>
      <c r="BA261" s="8" t="s">
        <v>62</v>
      </c>
      <c r="BC261" s="23">
        <f t="shared" si="241"/>
        <v>0</v>
      </c>
      <c r="BD261" s="23">
        <f t="shared" si="242"/>
        <v>0</v>
      </c>
      <c r="BE261" s="23">
        <v>0</v>
      </c>
      <c r="BF261" s="23">
        <f>261</f>
        <v>261</v>
      </c>
      <c r="BH261" s="23">
        <f t="shared" si="243"/>
        <v>0</v>
      </c>
      <c r="BI261" s="23">
        <f t="shared" si="244"/>
        <v>0</v>
      </c>
      <c r="BJ261" s="23">
        <f t="shared" si="245"/>
        <v>0</v>
      </c>
      <c r="BK261" s="23"/>
      <c r="BL261" s="23"/>
      <c r="BW261" s="23">
        <v>21</v>
      </c>
    </row>
    <row r="262" spans="1:75" ht="13.5" customHeight="1" x14ac:dyDescent="0.25">
      <c r="A262" s="2" t="s">
        <v>782</v>
      </c>
      <c r="B262" s="3" t="s">
        <v>783</v>
      </c>
      <c r="C262" s="80" t="s">
        <v>784</v>
      </c>
      <c r="D262" s="75"/>
      <c r="E262" s="3" t="s">
        <v>68</v>
      </c>
      <c r="F262" s="23">
        <v>1</v>
      </c>
      <c r="G262" s="23">
        <v>0</v>
      </c>
      <c r="H262" s="23">
        <f t="shared" si="224"/>
        <v>0</v>
      </c>
      <c r="I262" s="23">
        <f t="shared" si="225"/>
        <v>0</v>
      </c>
      <c r="J262" s="23">
        <f t="shared" si="226"/>
        <v>0</v>
      </c>
      <c r="K262" s="23">
        <v>1E-3</v>
      </c>
      <c r="L262" s="24">
        <v>1E-3</v>
      </c>
      <c r="Z262" s="23">
        <f t="shared" si="227"/>
        <v>0</v>
      </c>
      <c r="AB262" s="23">
        <f t="shared" si="228"/>
        <v>0</v>
      </c>
      <c r="AC262" s="23">
        <f t="shared" si="229"/>
        <v>0</v>
      </c>
      <c r="AD262" s="23">
        <f t="shared" si="230"/>
        <v>0</v>
      </c>
      <c r="AE262" s="23">
        <f t="shared" si="231"/>
        <v>0</v>
      </c>
      <c r="AF262" s="23">
        <f t="shared" si="232"/>
        <v>0</v>
      </c>
      <c r="AG262" s="23">
        <f t="shared" si="233"/>
        <v>0</v>
      </c>
      <c r="AH262" s="23">
        <f t="shared" si="234"/>
        <v>0</v>
      </c>
      <c r="AI262" s="8" t="s">
        <v>53</v>
      </c>
      <c r="AJ262" s="23">
        <f t="shared" si="235"/>
        <v>0</v>
      </c>
      <c r="AK262" s="23">
        <f t="shared" si="236"/>
        <v>0</v>
      </c>
      <c r="AL262" s="23">
        <f t="shared" si="237"/>
        <v>0</v>
      </c>
      <c r="AN262" s="23">
        <v>21</v>
      </c>
      <c r="AO262" s="23">
        <f>G262*1</f>
        <v>0</v>
      </c>
      <c r="AP262" s="23">
        <f>G262*(1-1)</f>
        <v>0</v>
      </c>
      <c r="AQ262" s="25" t="s">
        <v>56</v>
      </c>
      <c r="AV262" s="23">
        <f t="shared" si="238"/>
        <v>0</v>
      </c>
      <c r="AW262" s="23">
        <f t="shared" si="239"/>
        <v>0</v>
      </c>
      <c r="AX262" s="23">
        <f t="shared" si="240"/>
        <v>0</v>
      </c>
      <c r="AY262" s="25" t="s">
        <v>740</v>
      </c>
      <c r="AZ262" s="25" t="s">
        <v>565</v>
      </c>
      <c r="BA262" s="8" t="s">
        <v>62</v>
      </c>
      <c r="BC262" s="23">
        <f t="shared" si="241"/>
        <v>0</v>
      </c>
      <c r="BD262" s="23">
        <f t="shared" si="242"/>
        <v>0</v>
      </c>
      <c r="BE262" s="23">
        <v>0</v>
      </c>
      <c r="BF262" s="23">
        <f>262</f>
        <v>262</v>
      </c>
      <c r="BH262" s="23">
        <f t="shared" si="243"/>
        <v>0</v>
      </c>
      <c r="BI262" s="23">
        <f t="shared" si="244"/>
        <v>0</v>
      </c>
      <c r="BJ262" s="23">
        <f t="shared" si="245"/>
        <v>0</v>
      </c>
      <c r="BK262" s="23"/>
      <c r="BL262" s="23"/>
      <c r="BW262" s="23">
        <v>21</v>
      </c>
    </row>
    <row r="263" spans="1:75" ht="13.5" customHeight="1" x14ac:dyDescent="0.25">
      <c r="A263" s="2" t="s">
        <v>785</v>
      </c>
      <c r="B263" s="3" t="s">
        <v>786</v>
      </c>
      <c r="C263" s="80" t="s">
        <v>787</v>
      </c>
      <c r="D263" s="75"/>
      <c r="E263" s="3" t="s">
        <v>102</v>
      </c>
      <c r="F263" s="23">
        <v>6</v>
      </c>
      <c r="G263" s="23">
        <v>0</v>
      </c>
      <c r="H263" s="23">
        <f t="shared" si="224"/>
        <v>0</v>
      </c>
      <c r="I263" s="23">
        <f t="shared" si="225"/>
        <v>0</v>
      </c>
      <c r="J263" s="23">
        <f t="shared" si="226"/>
        <v>0</v>
      </c>
      <c r="K263" s="23">
        <v>1.41E-3</v>
      </c>
      <c r="L263" s="24">
        <v>1.41E-3</v>
      </c>
      <c r="Z263" s="23">
        <f t="shared" si="227"/>
        <v>0</v>
      </c>
      <c r="AB263" s="23">
        <f t="shared" si="228"/>
        <v>0</v>
      </c>
      <c r="AC263" s="23">
        <f t="shared" si="229"/>
        <v>0</v>
      </c>
      <c r="AD263" s="23">
        <f t="shared" si="230"/>
        <v>0</v>
      </c>
      <c r="AE263" s="23">
        <f t="shared" si="231"/>
        <v>0</v>
      </c>
      <c r="AF263" s="23">
        <f t="shared" si="232"/>
        <v>0</v>
      </c>
      <c r="AG263" s="23">
        <f t="shared" si="233"/>
        <v>0</v>
      </c>
      <c r="AH263" s="23">
        <f t="shared" si="234"/>
        <v>0</v>
      </c>
      <c r="AI263" s="8" t="s">
        <v>53</v>
      </c>
      <c r="AJ263" s="23">
        <f t="shared" si="235"/>
        <v>0</v>
      </c>
      <c r="AK263" s="23">
        <f t="shared" si="236"/>
        <v>0</v>
      </c>
      <c r="AL263" s="23">
        <f t="shared" si="237"/>
        <v>0</v>
      </c>
      <c r="AN263" s="23">
        <v>21</v>
      </c>
      <c r="AO263" s="23">
        <f>G263*0.615588177</f>
        <v>0</v>
      </c>
      <c r="AP263" s="23">
        <f>G263*(1-0.615588177)</f>
        <v>0</v>
      </c>
      <c r="AQ263" s="25" t="s">
        <v>65</v>
      </c>
      <c r="AV263" s="23">
        <f t="shared" si="238"/>
        <v>0</v>
      </c>
      <c r="AW263" s="23">
        <f t="shared" si="239"/>
        <v>0</v>
      </c>
      <c r="AX263" s="23">
        <f t="shared" si="240"/>
        <v>0</v>
      </c>
      <c r="AY263" s="25" t="s">
        <v>740</v>
      </c>
      <c r="AZ263" s="25" t="s">
        <v>565</v>
      </c>
      <c r="BA263" s="8" t="s">
        <v>62</v>
      </c>
      <c r="BC263" s="23">
        <f t="shared" si="241"/>
        <v>0</v>
      </c>
      <c r="BD263" s="23">
        <f t="shared" si="242"/>
        <v>0</v>
      </c>
      <c r="BE263" s="23">
        <v>0</v>
      </c>
      <c r="BF263" s="23">
        <f>263</f>
        <v>263</v>
      </c>
      <c r="BH263" s="23">
        <f t="shared" si="243"/>
        <v>0</v>
      </c>
      <c r="BI263" s="23">
        <f t="shared" si="244"/>
        <v>0</v>
      </c>
      <c r="BJ263" s="23">
        <f t="shared" si="245"/>
        <v>0</v>
      </c>
      <c r="BK263" s="23"/>
      <c r="BL263" s="23"/>
      <c r="BW263" s="23">
        <v>21</v>
      </c>
    </row>
    <row r="264" spans="1:75" ht="13.5" customHeight="1" x14ac:dyDescent="0.25">
      <c r="A264" s="2" t="s">
        <v>788</v>
      </c>
      <c r="B264" s="3" t="s">
        <v>789</v>
      </c>
      <c r="C264" s="80" t="s">
        <v>790</v>
      </c>
      <c r="D264" s="75"/>
      <c r="E264" s="3" t="s">
        <v>102</v>
      </c>
      <c r="F264" s="23">
        <v>4</v>
      </c>
      <c r="G264" s="23">
        <v>0</v>
      </c>
      <c r="H264" s="23">
        <f t="shared" si="224"/>
        <v>0</v>
      </c>
      <c r="I264" s="23">
        <f t="shared" si="225"/>
        <v>0</v>
      </c>
      <c r="J264" s="23">
        <f t="shared" si="226"/>
        <v>0</v>
      </c>
      <c r="K264" s="23">
        <v>2.3000000000000001E-4</v>
      </c>
      <c r="L264" s="24">
        <v>2.3000000000000001E-4</v>
      </c>
      <c r="Z264" s="23">
        <f t="shared" si="227"/>
        <v>0</v>
      </c>
      <c r="AB264" s="23">
        <f t="shared" si="228"/>
        <v>0</v>
      </c>
      <c r="AC264" s="23">
        <f t="shared" si="229"/>
        <v>0</v>
      </c>
      <c r="AD264" s="23">
        <f t="shared" si="230"/>
        <v>0</v>
      </c>
      <c r="AE264" s="23">
        <f t="shared" si="231"/>
        <v>0</v>
      </c>
      <c r="AF264" s="23">
        <f t="shared" si="232"/>
        <v>0</v>
      </c>
      <c r="AG264" s="23">
        <f t="shared" si="233"/>
        <v>0</v>
      </c>
      <c r="AH264" s="23">
        <f t="shared" si="234"/>
        <v>0</v>
      </c>
      <c r="AI264" s="8" t="s">
        <v>53</v>
      </c>
      <c r="AJ264" s="23">
        <f t="shared" si="235"/>
        <v>0</v>
      </c>
      <c r="AK264" s="23">
        <f t="shared" si="236"/>
        <v>0</v>
      </c>
      <c r="AL264" s="23">
        <f t="shared" si="237"/>
        <v>0</v>
      </c>
      <c r="AN264" s="23">
        <v>21</v>
      </c>
      <c r="AO264" s="23">
        <f>G264*0.513888889</f>
        <v>0</v>
      </c>
      <c r="AP264" s="23">
        <f>G264*(1-0.513888889)</f>
        <v>0</v>
      </c>
      <c r="AQ264" s="25" t="s">
        <v>65</v>
      </c>
      <c r="AV264" s="23">
        <f t="shared" si="238"/>
        <v>0</v>
      </c>
      <c r="AW264" s="23">
        <f t="shared" si="239"/>
        <v>0</v>
      </c>
      <c r="AX264" s="23">
        <f t="shared" si="240"/>
        <v>0</v>
      </c>
      <c r="AY264" s="25" t="s">
        <v>740</v>
      </c>
      <c r="AZ264" s="25" t="s">
        <v>565</v>
      </c>
      <c r="BA264" s="8" t="s">
        <v>62</v>
      </c>
      <c r="BC264" s="23">
        <f t="shared" si="241"/>
        <v>0</v>
      </c>
      <c r="BD264" s="23">
        <f t="shared" si="242"/>
        <v>0</v>
      </c>
      <c r="BE264" s="23">
        <v>0</v>
      </c>
      <c r="BF264" s="23">
        <f>264</f>
        <v>264</v>
      </c>
      <c r="BH264" s="23">
        <f t="shared" si="243"/>
        <v>0</v>
      </c>
      <c r="BI264" s="23">
        <f t="shared" si="244"/>
        <v>0</v>
      </c>
      <c r="BJ264" s="23">
        <f t="shared" si="245"/>
        <v>0</v>
      </c>
      <c r="BK264" s="23"/>
      <c r="BL264" s="23"/>
      <c r="BW264" s="23">
        <v>21</v>
      </c>
    </row>
    <row r="265" spans="1:75" ht="13.5" customHeight="1" x14ac:dyDescent="0.25">
      <c r="A265" s="2" t="s">
        <v>791</v>
      </c>
      <c r="B265" s="3" t="s">
        <v>792</v>
      </c>
      <c r="C265" s="80" t="s">
        <v>793</v>
      </c>
      <c r="D265" s="75"/>
      <c r="E265" s="3" t="s">
        <v>102</v>
      </c>
      <c r="F265" s="23">
        <v>180</v>
      </c>
      <c r="G265" s="23">
        <v>0</v>
      </c>
      <c r="H265" s="23">
        <f t="shared" si="224"/>
        <v>0</v>
      </c>
      <c r="I265" s="23">
        <f t="shared" si="225"/>
        <v>0</v>
      </c>
      <c r="J265" s="23">
        <f t="shared" si="226"/>
        <v>0</v>
      </c>
      <c r="K265" s="23">
        <v>0</v>
      </c>
      <c r="L265" s="24">
        <v>0</v>
      </c>
      <c r="Z265" s="23">
        <f t="shared" si="227"/>
        <v>0</v>
      </c>
      <c r="AB265" s="23">
        <f t="shared" si="228"/>
        <v>0</v>
      </c>
      <c r="AC265" s="23">
        <f t="shared" si="229"/>
        <v>0</v>
      </c>
      <c r="AD265" s="23">
        <f t="shared" si="230"/>
        <v>0</v>
      </c>
      <c r="AE265" s="23">
        <f t="shared" si="231"/>
        <v>0</v>
      </c>
      <c r="AF265" s="23">
        <f t="shared" si="232"/>
        <v>0</v>
      </c>
      <c r="AG265" s="23">
        <f t="shared" si="233"/>
        <v>0</v>
      </c>
      <c r="AH265" s="23">
        <f t="shared" si="234"/>
        <v>0</v>
      </c>
      <c r="AI265" s="8" t="s">
        <v>53</v>
      </c>
      <c r="AJ265" s="23">
        <f t="shared" si="235"/>
        <v>0</v>
      </c>
      <c r="AK265" s="23">
        <f t="shared" si="236"/>
        <v>0</v>
      </c>
      <c r="AL265" s="23">
        <f t="shared" si="237"/>
        <v>0</v>
      </c>
      <c r="AN265" s="23">
        <v>21</v>
      </c>
      <c r="AO265" s="23">
        <f>G265*0.78823593</f>
        <v>0</v>
      </c>
      <c r="AP265" s="23">
        <f>G265*(1-0.78823593)</f>
        <v>0</v>
      </c>
      <c r="AQ265" s="25" t="s">
        <v>65</v>
      </c>
      <c r="AV265" s="23">
        <f t="shared" si="238"/>
        <v>0</v>
      </c>
      <c r="AW265" s="23">
        <f t="shared" si="239"/>
        <v>0</v>
      </c>
      <c r="AX265" s="23">
        <f t="shared" si="240"/>
        <v>0</v>
      </c>
      <c r="AY265" s="25" t="s">
        <v>740</v>
      </c>
      <c r="AZ265" s="25" t="s">
        <v>565</v>
      </c>
      <c r="BA265" s="8" t="s">
        <v>62</v>
      </c>
      <c r="BC265" s="23">
        <f t="shared" si="241"/>
        <v>0</v>
      </c>
      <c r="BD265" s="23">
        <f t="shared" si="242"/>
        <v>0</v>
      </c>
      <c r="BE265" s="23">
        <v>0</v>
      </c>
      <c r="BF265" s="23">
        <f>265</f>
        <v>265</v>
      </c>
      <c r="BH265" s="23">
        <f t="shared" si="243"/>
        <v>0</v>
      </c>
      <c r="BI265" s="23">
        <f t="shared" si="244"/>
        <v>0</v>
      </c>
      <c r="BJ265" s="23">
        <f t="shared" si="245"/>
        <v>0</v>
      </c>
      <c r="BK265" s="23"/>
      <c r="BL265" s="23"/>
      <c r="BW265" s="23">
        <v>21</v>
      </c>
    </row>
    <row r="266" spans="1:75" ht="13.5" customHeight="1" x14ac:dyDescent="0.25">
      <c r="A266" s="2" t="s">
        <v>794</v>
      </c>
      <c r="B266" s="3" t="s">
        <v>795</v>
      </c>
      <c r="C266" s="80" t="s">
        <v>796</v>
      </c>
      <c r="D266" s="75"/>
      <c r="E266" s="3" t="s">
        <v>102</v>
      </c>
      <c r="F266" s="23">
        <v>30</v>
      </c>
      <c r="G266" s="23">
        <v>0</v>
      </c>
      <c r="H266" s="23">
        <f t="shared" si="224"/>
        <v>0</v>
      </c>
      <c r="I266" s="23">
        <f t="shared" si="225"/>
        <v>0</v>
      </c>
      <c r="J266" s="23">
        <f t="shared" si="226"/>
        <v>0</v>
      </c>
      <c r="K266" s="23">
        <v>2.5000000000000001E-4</v>
      </c>
      <c r="L266" s="24">
        <v>2.5000000000000001E-4</v>
      </c>
      <c r="Z266" s="23">
        <f t="shared" si="227"/>
        <v>0</v>
      </c>
      <c r="AB266" s="23">
        <f t="shared" si="228"/>
        <v>0</v>
      </c>
      <c r="AC266" s="23">
        <f t="shared" si="229"/>
        <v>0</v>
      </c>
      <c r="AD266" s="23">
        <f t="shared" si="230"/>
        <v>0</v>
      </c>
      <c r="AE266" s="23">
        <f t="shared" si="231"/>
        <v>0</v>
      </c>
      <c r="AF266" s="23">
        <f t="shared" si="232"/>
        <v>0</v>
      </c>
      <c r="AG266" s="23">
        <f t="shared" si="233"/>
        <v>0</v>
      </c>
      <c r="AH266" s="23">
        <f t="shared" si="234"/>
        <v>0</v>
      </c>
      <c r="AI266" s="8" t="s">
        <v>53</v>
      </c>
      <c r="AJ266" s="23">
        <f t="shared" si="235"/>
        <v>0</v>
      </c>
      <c r="AK266" s="23">
        <f t="shared" si="236"/>
        <v>0</v>
      </c>
      <c r="AL266" s="23">
        <f t="shared" si="237"/>
        <v>0</v>
      </c>
      <c r="AN266" s="23">
        <v>21</v>
      </c>
      <c r="AO266" s="23">
        <f>G266*0.627248201</f>
        <v>0</v>
      </c>
      <c r="AP266" s="23">
        <f>G266*(1-0.627248201)</f>
        <v>0</v>
      </c>
      <c r="AQ266" s="25" t="s">
        <v>65</v>
      </c>
      <c r="AV266" s="23">
        <f t="shared" si="238"/>
        <v>0</v>
      </c>
      <c r="AW266" s="23">
        <f t="shared" si="239"/>
        <v>0</v>
      </c>
      <c r="AX266" s="23">
        <f t="shared" si="240"/>
        <v>0</v>
      </c>
      <c r="AY266" s="25" t="s">
        <v>740</v>
      </c>
      <c r="AZ266" s="25" t="s">
        <v>565</v>
      </c>
      <c r="BA266" s="8" t="s">
        <v>62</v>
      </c>
      <c r="BC266" s="23">
        <f t="shared" si="241"/>
        <v>0</v>
      </c>
      <c r="BD266" s="23">
        <f t="shared" si="242"/>
        <v>0</v>
      </c>
      <c r="BE266" s="23">
        <v>0</v>
      </c>
      <c r="BF266" s="23">
        <f>266</f>
        <v>266</v>
      </c>
      <c r="BH266" s="23">
        <f t="shared" si="243"/>
        <v>0</v>
      </c>
      <c r="BI266" s="23">
        <f t="shared" si="244"/>
        <v>0</v>
      </c>
      <c r="BJ266" s="23">
        <f t="shared" si="245"/>
        <v>0</v>
      </c>
      <c r="BK266" s="23"/>
      <c r="BL266" s="23"/>
      <c r="BW266" s="23">
        <v>21</v>
      </c>
    </row>
    <row r="267" spans="1:75" ht="13.5" customHeight="1" x14ac:dyDescent="0.25">
      <c r="A267" s="2" t="s">
        <v>797</v>
      </c>
      <c r="B267" s="3" t="s">
        <v>798</v>
      </c>
      <c r="C267" s="80" t="s">
        <v>799</v>
      </c>
      <c r="D267" s="75"/>
      <c r="E267" s="3" t="s">
        <v>102</v>
      </c>
      <c r="F267" s="23">
        <v>180</v>
      </c>
      <c r="G267" s="23">
        <v>0</v>
      </c>
      <c r="H267" s="23">
        <f t="shared" si="224"/>
        <v>0</v>
      </c>
      <c r="I267" s="23">
        <f t="shared" si="225"/>
        <v>0</v>
      </c>
      <c r="J267" s="23">
        <f t="shared" si="226"/>
        <v>0</v>
      </c>
      <c r="K267" s="23">
        <v>0</v>
      </c>
      <c r="L267" s="24">
        <v>0</v>
      </c>
      <c r="Z267" s="23">
        <f t="shared" si="227"/>
        <v>0</v>
      </c>
      <c r="AB267" s="23">
        <f t="shared" si="228"/>
        <v>0</v>
      </c>
      <c r="AC267" s="23">
        <f t="shared" si="229"/>
        <v>0</v>
      </c>
      <c r="AD267" s="23">
        <f t="shared" si="230"/>
        <v>0</v>
      </c>
      <c r="AE267" s="23">
        <f t="shared" si="231"/>
        <v>0</v>
      </c>
      <c r="AF267" s="23">
        <f t="shared" si="232"/>
        <v>0</v>
      </c>
      <c r="AG267" s="23">
        <f t="shared" si="233"/>
        <v>0</v>
      </c>
      <c r="AH267" s="23">
        <f t="shared" si="234"/>
        <v>0</v>
      </c>
      <c r="AI267" s="8" t="s">
        <v>53</v>
      </c>
      <c r="AJ267" s="23">
        <f t="shared" si="235"/>
        <v>0</v>
      </c>
      <c r="AK267" s="23">
        <f t="shared" si="236"/>
        <v>0</v>
      </c>
      <c r="AL267" s="23">
        <f t="shared" si="237"/>
        <v>0</v>
      </c>
      <c r="AN267" s="23">
        <v>21</v>
      </c>
      <c r="AO267" s="23">
        <f>G267*0.777581993</f>
        <v>0</v>
      </c>
      <c r="AP267" s="23">
        <f>G267*(1-0.777581993)</f>
        <v>0</v>
      </c>
      <c r="AQ267" s="25" t="s">
        <v>65</v>
      </c>
      <c r="AV267" s="23">
        <f t="shared" si="238"/>
        <v>0</v>
      </c>
      <c r="AW267" s="23">
        <f t="shared" si="239"/>
        <v>0</v>
      </c>
      <c r="AX267" s="23">
        <f t="shared" si="240"/>
        <v>0</v>
      </c>
      <c r="AY267" s="25" t="s">
        <v>740</v>
      </c>
      <c r="AZ267" s="25" t="s">
        <v>565</v>
      </c>
      <c r="BA267" s="8" t="s">
        <v>62</v>
      </c>
      <c r="BC267" s="23">
        <f t="shared" si="241"/>
        <v>0</v>
      </c>
      <c r="BD267" s="23">
        <f t="shared" si="242"/>
        <v>0</v>
      </c>
      <c r="BE267" s="23">
        <v>0</v>
      </c>
      <c r="BF267" s="23">
        <f>267</f>
        <v>267</v>
      </c>
      <c r="BH267" s="23">
        <f t="shared" si="243"/>
        <v>0</v>
      </c>
      <c r="BI267" s="23">
        <f t="shared" si="244"/>
        <v>0</v>
      </c>
      <c r="BJ267" s="23">
        <f t="shared" si="245"/>
        <v>0</v>
      </c>
      <c r="BK267" s="23"/>
      <c r="BL267" s="23"/>
      <c r="BW267" s="23">
        <v>21</v>
      </c>
    </row>
    <row r="268" spans="1:75" ht="13.5" customHeight="1" x14ac:dyDescent="0.25">
      <c r="A268" s="2" t="s">
        <v>800</v>
      </c>
      <c r="B268" s="3" t="s">
        <v>801</v>
      </c>
      <c r="C268" s="80" t="s">
        <v>802</v>
      </c>
      <c r="D268" s="75"/>
      <c r="E268" s="3" t="s">
        <v>102</v>
      </c>
      <c r="F268" s="23">
        <v>76</v>
      </c>
      <c r="G268" s="23">
        <v>0</v>
      </c>
      <c r="H268" s="23">
        <f t="shared" si="224"/>
        <v>0</v>
      </c>
      <c r="I268" s="23">
        <f t="shared" si="225"/>
        <v>0</v>
      </c>
      <c r="J268" s="23">
        <f t="shared" si="226"/>
        <v>0</v>
      </c>
      <c r="K268" s="23">
        <v>2.2000000000000001E-4</v>
      </c>
      <c r="L268" s="24">
        <v>2.2000000000000001E-4</v>
      </c>
      <c r="Z268" s="23">
        <f t="shared" si="227"/>
        <v>0</v>
      </c>
      <c r="AB268" s="23">
        <f t="shared" si="228"/>
        <v>0</v>
      </c>
      <c r="AC268" s="23">
        <f t="shared" si="229"/>
        <v>0</v>
      </c>
      <c r="AD268" s="23">
        <f t="shared" si="230"/>
        <v>0</v>
      </c>
      <c r="AE268" s="23">
        <f t="shared" si="231"/>
        <v>0</v>
      </c>
      <c r="AF268" s="23">
        <f t="shared" si="232"/>
        <v>0</v>
      </c>
      <c r="AG268" s="23">
        <f t="shared" si="233"/>
        <v>0</v>
      </c>
      <c r="AH268" s="23">
        <f t="shared" si="234"/>
        <v>0</v>
      </c>
      <c r="AI268" s="8" t="s">
        <v>53</v>
      </c>
      <c r="AJ268" s="23">
        <f t="shared" si="235"/>
        <v>0</v>
      </c>
      <c r="AK268" s="23">
        <f t="shared" si="236"/>
        <v>0</v>
      </c>
      <c r="AL268" s="23">
        <f t="shared" si="237"/>
        <v>0</v>
      </c>
      <c r="AN268" s="23">
        <v>21</v>
      </c>
      <c r="AO268" s="23">
        <f>G268*0.530408774</f>
        <v>0</v>
      </c>
      <c r="AP268" s="23">
        <f>G268*(1-0.530408774)</f>
        <v>0</v>
      </c>
      <c r="AQ268" s="25" t="s">
        <v>65</v>
      </c>
      <c r="AV268" s="23">
        <f t="shared" si="238"/>
        <v>0</v>
      </c>
      <c r="AW268" s="23">
        <f t="shared" si="239"/>
        <v>0</v>
      </c>
      <c r="AX268" s="23">
        <f t="shared" si="240"/>
        <v>0</v>
      </c>
      <c r="AY268" s="25" t="s">
        <v>740</v>
      </c>
      <c r="AZ268" s="25" t="s">
        <v>565</v>
      </c>
      <c r="BA268" s="8" t="s">
        <v>62</v>
      </c>
      <c r="BC268" s="23">
        <f t="shared" si="241"/>
        <v>0</v>
      </c>
      <c r="BD268" s="23">
        <f t="shared" si="242"/>
        <v>0</v>
      </c>
      <c r="BE268" s="23">
        <v>0</v>
      </c>
      <c r="BF268" s="23">
        <f>268</f>
        <v>268</v>
      </c>
      <c r="BH268" s="23">
        <f t="shared" si="243"/>
        <v>0</v>
      </c>
      <c r="BI268" s="23">
        <f t="shared" si="244"/>
        <v>0</v>
      </c>
      <c r="BJ268" s="23">
        <f t="shared" si="245"/>
        <v>0</v>
      </c>
      <c r="BK268" s="23"/>
      <c r="BL268" s="23"/>
      <c r="BW268" s="23">
        <v>21</v>
      </c>
    </row>
    <row r="269" spans="1:75" ht="13.5" customHeight="1" x14ac:dyDescent="0.25">
      <c r="A269" s="2" t="s">
        <v>803</v>
      </c>
      <c r="B269" s="3" t="s">
        <v>804</v>
      </c>
      <c r="C269" s="80" t="s">
        <v>805</v>
      </c>
      <c r="D269" s="75"/>
      <c r="E269" s="3" t="s">
        <v>102</v>
      </c>
      <c r="F269" s="23">
        <v>20</v>
      </c>
      <c r="G269" s="23">
        <v>0</v>
      </c>
      <c r="H269" s="23">
        <f t="shared" si="224"/>
        <v>0</v>
      </c>
      <c r="I269" s="23">
        <f t="shared" si="225"/>
        <v>0</v>
      </c>
      <c r="J269" s="23">
        <f t="shared" si="226"/>
        <v>0</v>
      </c>
      <c r="K269" s="23">
        <v>6.0000000000000002E-5</v>
      </c>
      <c r="L269" s="24">
        <v>6.0000000000000002E-5</v>
      </c>
      <c r="Z269" s="23">
        <f t="shared" si="227"/>
        <v>0</v>
      </c>
      <c r="AB269" s="23">
        <f t="shared" si="228"/>
        <v>0</v>
      </c>
      <c r="AC269" s="23">
        <f t="shared" si="229"/>
        <v>0</v>
      </c>
      <c r="AD269" s="23">
        <f t="shared" si="230"/>
        <v>0</v>
      </c>
      <c r="AE269" s="23">
        <f t="shared" si="231"/>
        <v>0</v>
      </c>
      <c r="AF269" s="23">
        <f t="shared" si="232"/>
        <v>0</v>
      </c>
      <c r="AG269" s="23">
        <f t="shared" si="233"/>
        <v>0</v>
      </c>
      <c r="AH269" s="23">
        <f t="shared" si="234"/>
        <v>0</v>
      </c>
      <c r="AI269" s="8" t="s">
        <v>53</v>
      </c>
      <c r="AJ269" s="23">
        <f t="shared" si="235"/>
        <v>0</v>
      </c>
      <c r="AK269" s="23">
        <f t="shared" si="236"/>
        <v>0</v>
      </c>
      <c r="AL269" s="23">
        <f t="shared" si="237"/>
        <v>0</v>
      </c>
      <c r="AN269" s="23">
        <v>21</v>
      </c>
      <c r="AO269" s="23">
        <f>G269*0.236655367</f>
        <v>0</v>
      </c>
      <c r="AP269" s="23">
        <f>G269*(1-0.236655367)</f>
        <v>0</v>
      </c>
      <c r="AQ269" s="25" t="s">
        <v>65</v>
      </c>
      <c r="AV269" s="23">
        <f t="shared" si="238"/>
        <v>0</v>
      </c>
      <c r="AW269" s="23">
        <f t="shared" si="239"/>
        <v>0</v>
      </c>
      <c r="AX269" s="23">
        <f t="shared" si="240"/>
        <v>0</v>
      </c>
      <c r="AY269" s="25" t="s">
        <v>740</v>
      </c>
      <c r="AZ269" s="25" t="s">
        <v>565</v>
      </c>
      <c r="BA269" s="8" t="s">
        <v>62</v>
      </c>
      <c r="BC269" s="23">
        <f t="shared" si="241"/>
        <v>0</v>
      </c>
      <c r="BD269" s="23">
        <f t="shared" si="242"/>
        <v>0</v>
      </c>
      <c r="BE269" s="23">
        <v>0</v>
      </c>
      <c r="BF269" s="23">
        <f>269</f>
        <v>269</v>
      </c>
      <c r="BH269" s="23">
        <f t="shared" si="243"/>
        <v>0</v>
      </c>
      <c r="BI269" s="23">
        <f t="shared" si="244"/>
        <v>0</v>
      </c>
      <c r="BJ269" s="23">
        <f t="shared" si="245"/>
        <v>0</v>
      </c>
      <c r="BK269" s="23"/>
      <c r="BL269" s="23"/>
      <c r="BW269" s="23">
        <v>21</v>
      </c>
    </row>
    <row r="270" spans="1:75" ht="13.5" customHeight="1" x14ac:dyDescent="0.25">
      <c r="A270" s="2" t="s">
        <v>806</v>
      </c>
      <c r="B270" s="3" t="s">
        <v>807</v>
      </c>
      <c r="C270" s="80" t="s">
        <v>808</v>
      </c>
      <c r="D270" s="75"/>
      <c r="E270" s="3" t="s">
        <v>68</v>
      </c>
      <c r="F270" s="23">
        <v>5</v>
      </c>
      <c r="G270" s="23">
        <v>0</v>
      </c>
      <c r="H270" s="23">
        <f t="shared" si="224"/>
        <v>0</v>
      </c>
      <c r="I270" s="23">
        <f t="shared" si="225"/>
        <v>0</v>
      </c>
      <c r="J270" s="23">
        <f t="shared" si="226"/>
        <v>0</v>
      </c>
      <c r="K270" s="23">
        <v>0</v>
      </c>
      <c r="L270" s="24">
        <v>0</v>
      </c>
      <c r="Z270" s="23">
        <f t="shared" si="227"/>
        <v>0</v>
      </c>
      <c r="AB270" s="23">
        <f t="shared" si="228"/>
        <v>0</v>
      </c>
      <c r="AC270" s="23">
        <f t="shared" si="229"/>
        <v>0</v>
      </c>
      <c r="AD270" s="23">
        <f t="shared" si="230"/>
        <v>0</v>
      </c>
      <c r="AE270" s="23">
        <f t="shared" si="231"/>
        <v>0</v>
      </c>
      <c r="AF270" s="23">
        <f t="shared" si="232"/>
        <v>0</v>
      </c>
      <c r="AG270" s="23">
        <f t="shared" si="233"/>
        <v>0</v>
      </c>
      <c r="AH270" s="23">
        <f t="shared" si="234"/>
        <v>0</v>
      </c>
      <c r="AI270" s="8" t="s">
        <v>53</v>
      </c>
      <c r="AJ270" s="23">
        <f t="shared" si="235"/>
        <v>0</v>
      </c>
      <c r="AK270" s="23">
        <f t="shared" si="236"/>
        <v>0</v>
      </c>
      <c r="AL270" s="23">
        <f t="shared" si="237"/>
        <v>0</v>
      </c>
      <c r="AN270" s="23">
        <v>21</v>
      </c>
      <c r="AO270" s="23">
        <f>G270*0</f>
        <v>0</v>
      </c>
      <c r="AP270" s="23">
        <f>G270*(1-0)</f>
        <v>0</v>
      </c>
      <c r="AQ270" s="25" t="s">
        <v>65</v>
      </c>
      <c r="AV270" s="23">
        <f t="shared" si="238"/>
        <v>0</v>
      </c>
      <c r="AW270" s="23">
        <f t="shared" si="239"/>
        <v>0</v>
      </c>
      <c r="AX270" s="23">
        <f t="shared" si="240"/>
        <v>0</v>
      </c>
      <c r="AY270" s="25" t="s">
        <v>740</v>
      </c>
      <c r="AZ270" s="25" t="s">
        <v>565</v>
      </c>
      <c r="BA270" s="8" t="s">
        <v>62</v>
      </c>
      <c r="BC270" s="23">
        <f t="shared" si="241"/>
        <v>0</v>
      </c>
      <c r="BD270" s="23">
        <f t="shared" si="242"/>
        <v>0</v>
      </c>
      <c r="BE270" s="23">
        <v>0</v>
      </c>
      <c r="BF270" s="23">
        <f>270</f>
        <v>270</v>
      </c>
      <c r="BH270" s="23">
        <f t="shared" si="243"/>
        <v>0</v>
      </c>
      <c r="BI270" s="23">
        <f t="shared" si="244"/>
        <v>0</v>
      </c>
      <c r="BJ270" s="23">
        <f t="shared" si="245"/>
        <v>0</v>
      </c>
      <c r="BK270" s="23"/>
      <c r="BL270" s="23"/>
      <c r="BW270" s="23">
        <v>21</v>
      </c>
    </row>
    <row r="271" spans="1:75" ht="13.5" customHeight="1" x14ac:dyDescent="0.25">
      <c r="A271" s="2" t="s">
        <v>809</v>
      </c>
      <c r="B271" s="3" t="s">
        <v>810</v>
      </c>
      <c r="C271" s="80" t="s">
        <v>811</v>
      </c>
      <c r="D271" s="75"/>
      <c r="E271" s="3" t="s">
        <v>68</v>
      </c>
      <c r="F271" s="23">
        <v>8</v>
      </c>
      <c r="G271" s="23">
        <v>0</v>
      </c>
      <c r="H271" s="23">
        <f t="shared" si="224"/>
        <v>0</v>
      </c>
      <c r="I271" s="23">
        <f t="shared" si="225"/>
        <v>0</v>
      </c>
      <c r="J271" s="23">
        <f t="shared" si="226"/>
        <v>0</v>
      </c>
      <c r="K271" s="23">
        <v>0</v>
      </c>
      <c r="L271" s="24">
        <v>0</v>
      </c>
      <c r="Z271" s="23">
        <f t="shared" si="227"/>
        <v>0</v>
      </c>
      <c r="AB271" s="23">
        <f t="shared" si="228"/>
        <v>0</v>
      </c>
      <c r="AC271" s="23">
        <f t="shared" si="229"/>
        <v>0</v>
      </c>
      <c r="AD271" s="23">
        <f t="shared" si="230"/>
        <v>0</v>
      </c>
      <c r="AE271" s="23">
        <f t="shared" si="231"/>
        <v>0</v>
      </c>
      <c r="AF271" s="23">
        <f t="shared" si="232"/>
        <v>0</v>
      </c>
      <c r="AG271" s="23">
        <f t="shared" si="233"/>
        <v>0</v>
      </c>
      <c r="AH271" s="23">
        <f t="shared" si="234"/>
        <v>0</v>
      </c>
      <c r="AI271" s="8" t="s">
        <v>53</v>
      </c>
      <c r="AJ271" s="23">
        <f t="shared" si="235"/>
        <v>0</v>
      </c>
      <c r="AK271" s="23">
        <f t="shared" si="236"/>
        <v>0</v>
      </c>
      <c r="AL271" s="23">
        <f t="shared" si="237"/>
        <v>0</v>
      </c>
      <c r="AN271" s="23">
        <v>21</v>
      </c>
      <c r="AO271" s="23">
        <f>G271*0.202937543</f>
        <v>0</v>
      </c>
      <c r="AP271" s="23">
        <f>G271*(1-0.202937543)</f>
        <v>0</v>
      </c>
      <c r="AQ271" s="25" t="s">
        <v>65</v>
      </c>
      <c r="AV271" s="23">
        <f t="shared" si="238"/>
        <v>0</v>
      </c>
      <c r="AW271" s="23">
        <f t="shared" si="239"/>
        <v>0</v>
      </c>
      <c r="AX271" s="23">
        <f t="shared" si="240"/>
        <v>0</v>
      </c>
      <c r="AY271" s="25" t="s">
        <v>740</v>
      </c>
      <c r="AZ271" s="25" t="s">
        <v>565</v>
      </c>
      <c r="BA271" s="8" t="s">
        <v>62</v>
      </c>
      <c r="BC271" s="23">
        <f t="shared" si="241"/>
        <v>0</v>
      </c>
      <c r="BD271" s="23">
        <f t="shared" si="242"/>
        <v>0</v>
      </c>
      <c r="BE271" s="23">
        <v>0</v>
      </c>
      <c r="BF271" s="23">
        <f>271</f>
        <v>271</v>
      </c>
      <c r="BH271" s="23">
        <f t="shared" si="243"/>
        <v>0</v>
      </c>
      <c r="BI271" s="23">
        <f t="shared" si="244"/>
        <v>0</v>
      </c>
      <c r="BJ271" s="23">
        <f t="shared" si="245"/>
        <v>0</v>
      </c>
      <c r="BK271" s="23"/>
      <c r="BL271" s="23"/>
      <c r="BW271" s="23">
        <v>21</v>
      </c>
    </row>
    <row r="272" spans="1:75" ht="13.5" customHeight="1" x14ac:dyDescent="0.25">
      <c r="A272" s="2" t="s">
        <v>812</v>
      </c>
      <c r="B272" s="3" t="s">
        <v>813</v>
      </c>
      <c r="C272" s="80" t="s">
        <v>814</v>
      </c>
      <c r="D272" s="75"/>
      <c r="E272" s="3" t="s">
        <v>68</v>
      </c>
      <c r="F272" s="23">
        <v>1</v>
      </c>
      <c r="G272" s="23">
        <v>0</v>
      </c>
      <c r="H272" s="23">
        <f t="shared" si="224"/>
        <v>0</v>
      </c>
      <c r="I272" s="23">
        <f t="shared" si="225"/>
        <v>0</v>
      </c>
      <c r="J272" s="23">
        <f t="shared" si="226"/>
        <v>0</v>
      </c>
      <c r="K272" s="23">
        <v>0</v>
      </c>
      <c r="L272" s="24">
        <v>0</v>
      </c>
      <c r="Z272" s="23">
        <f t="shared" si="227"/>
        <v>0</v>
      </c>
      <c r="AB272" s="23">
        <f t="shared" si="228"/>
        <v>0</v>
      </c>
      <c r="AC272" s="23">
        <f t="shared" si="229"/>
        <v>0</v>
      </c>
      <c r="AD272" s="23">
        <f t="shared" si="230"/>
        <v>0</v>
      </c>
      <c r="AE272" s="23">
        <f t="shared" si="231"/>
        <v>0</v>
      </c>
      <c r="AF272" s="23">
        <f t="shared" si="232"/>
        <v>0</v>
      </c>
      <c r="AG272" s="23">
        <f t="shared" si="233"/>
        <v>0</v>
      </c>
      <c r="AH272" s="23">
        <f t="shared" si="234"/>
        <v>0</v>
      </c>
      <c r="AI272" s="8" t="s">
        <v>53</v>
      </c>
      <c r="AJ272" s="23">
        <f t="shared" si="235"/>
        <v>0</v>
      </c>
      <c r="AK272" s="23">
        <f t="shared" si="236"/>
        <v>0</v>
      </c>
      <c r="AL272" s="23">
        <f t="shared" si="237"/>
        <v>0</v>
      </c>
      <c r="AN272" s="23">
        <v>21</v>
      </c>
      <c r="AO272" s="23">
        <f>G272*0.531914894</f>
        <v>0</v>
      </c>
      <c r="AP272" s="23">
        <f>G272*(1-0.531914894)</f>
        <v>0</v>
      </c>
      <c r="AQ272" s="25" t="s">
        <v>65</v>
      </c>
      <c r="AV272" s="23">
        <f t="shared" si="238"/>
        <v>0</v>
      </c>
      <c r="AW272" s="23">
        <f t="shared" si="239"/>
        <v>0</v>
      </c>
      <c r="AX272" s="23">
        <f t="shared" si="240"/>
        <v>0</v>
      </c>
      <c r="AY272" s="25" t="s">
        <v>740</v>
      </c>
      <c r="AZ272" s="25" t="s">
        <v>565</v>
      </c>
      <c r="BA272" s="8" t="s">
        <v>62</v>
      </c>
      <c r="BC272" s="23">
        <f t="shared" si="241"/>
        <v>0</v>
      </c>
      <c r="BD272" s="23">
        <f t="shared" si="242"/>
        <v>0</v>
      </c>
      <c r="BE272" s="23">
        <v>0</v>
      </c>
      <c r="BF272" s="23">
        <f>272</f>
        <v>272</v>
      </c>
      <c r="BH272" s="23">
        <f t="shared" si="243"/>
        <v>0</v>
      </c>
      <c r="BI272" s="23">
        <f t="shared" si="244"/>
        <v>0</v>
      </c>
      <c r="BJ272" s="23">
        <f t="shared" si="245"/>
        <v>0</v>
      </c>
      <c r="BK272" s="23"/>
      <c r="BL272" s="23"/>
      <c r="BW272" s="23">
        <v>21</v>
      </c>
    </row>
    <row r="273" spans="1:75" ht="27" customHeight="1" x14ac:dyDescent="0.25">
      <c r="A273" s="2" t="s">
        <v>815</v>
      </c>
      <c r="B273" s="3" t="s">
        <v>816</v>
      </c>
      <c r="C273" s="80" t="s">
        <v>817</v>
      </c>
      <c r="D273" s="75"/>
      <c r="E273" s="3" t="s">
        <v>68</v>
      </c>
      <c r="F273" s="23">
        <v>45</v>
      </c>
      <c r="G273" s="23">
        <v>0</v>
      </c>
      <c r="H273" s="23">
        <f t="shared" si="224"/>
        <v>0</v>
      </c>
      <c r="I273" s="23">
        <f t="shared" si="225"/>
        <v>0</v>
      </c>
      <c r="J273" s="23">
        <f t="shared" si="226"/>
        <v>0</v>
      </c>
      <c r="K273" s="23">
        <v>0</v>
      </c>
      <c r="L273" s="24">
        <v>0</v>
      </c>
      <c r="Z273" s="23">
        <f t="shared" si="227"/>
        <v>0</v>
      </c>
      <c r="AB273" s="23">
        <f t="shared" si="228"/>
        <v>0</v>
      </c>
      <c r="AC273" s="23">
        <f t="shared" si="229"/>
        <v>0</v>
      </c>
      <c r="AD273" s="23">
        <f t="shared" si="230"/>
        <v>0</v>
      </c>
      <c r="AE273" s="23">
        <f t="shared" si="231"/>
        <v>0</v>
      </c>
      <c r="AF273" s="23">
        <f t="shared" si="232"/>
        <v>0</v>
      </c>
      <c r="AG273" s="23">
        <f t="shared" si="233"/>
        <v>0</v>
      </c>
      <c r="AH273" s="23">
        <f t="shared" si="234"/>
        <v>0</v>
      </c>
      <c r="AI273" s="8" t="s">
        <v>53</v>
      </c>
      <c r="AJ273" s="23">
        <f t="shared" si="235"/>
        <v>0</v>
      </c>
      <c r="AK273" s="23">
        <f t="shared" si="236"/>
        <v>0</v>
      </c>
      <c r="AL273" s="23">
        <f t="shared" si="237"/>
        <v>0</v>
      </c>
      <c r="AN273" s="23">
        <v>21</v>
      </c>
      <c r="AO273" s="23">
        <f>G273*0.025366112</f>
        <v>0</v>
      </c>
      <c r="AP273" s="23">
        <f>G273*(1-0.025366112)</f>
        <v>0</v>
      </c>
      <c r="AQ273" s="25" t="s">
        <v>65</v>
      </c>
      <c r="AV273" s="23">
        <f t="shared" si="238"/>
        <v>0</v>
      </c>
      <c r="AW273" s="23">
        <f t="shared" si="239"/>
        <v>0</v>
      </c>
      <c r="AX273" s="23">
        <f t="shared" si="240"/>
        <v>0</v>
      </c>
      <c r="AY273" s="25" t="s">
        <v>740</v>
      </c>
      <c r="AZ273" s="25" t="s">
        <v>565</v>
      </c>
      <c r="BA273" s="8" t="s">
        <v>62</v>
      </c>
      <c r="BC273" s="23">
        <f t="shared" si="241"/>
        <v>0</v>
      </c>
      <c r="BD273" s="23">
        <f t="shared" si="242"/>
        <v>0</v>
      </c>
      <c r="BE273" s="23">
        <v>0</v>
      </c>
      <c r="BF273" s="23">
        <f>273</f>
        <v>273</v>
      </c>
      <c r="BH273" s="23">
        <f t="shared" si="243"/>
        <v>0</v>
      </c>
      <c r="BI273" s="23">
        <f t="shared" si="244"/>
        <v>0</v>
      </c>
      <c r="BJ273" s="23">
        <f t="shared" si="245"/>
        <v>0</v>
      </c>
      <c r="BK273" s="23"/>
      <c r="BL273" s="23"/>
      <c r="BW273" s="23">
        <v>21</v>
      </c>
    </row>
    <row r="274" spans="1:75" ht="13.5" customHeight="1" x14ac:dyDescent="0.25">
      <c r="A274" s="2" t="s">
        <v>818</v>
      </c>
      <c r="B274" s="3" t="s">
        <v>819</v>
      </c>
      <c r="C274" s="80" t="s">
        <v>820</v>
      </c>
      <c r="D274" s="75"/>
      <c r="E274" s="3" t="s">
        <v>68</v>
      </c>
      <c r="F274" s="23">
        <v>1</v>
      </c>
      <c r="G274" s="23">
        <v>0</v>
      </c>
      <c r="H274" s="23">
        <f t="shared" si="224"/>
        <v>0</v>
      </c>
      <c r="I274" s="23">
        <f t="shared" si="225"/>
        <v>0</v>
      </c>
      <c r="J274" s="23">
        <f t="shared" si="226"/>
        <v>0</v>
      </c>
      <c r="K274" s="23">
        <v>1E-3</v>
      </c>
      <c r="L274" s="24">
        <v>1E-3</v>
      </c>
      <c r="Z274" s="23">
        <f t="shared" si="227"/>
        <v>0</v>
      </c>
      <c r="AB274" s="23">
        <f t="shared" si="228"/>
        <v>0</v>
      </c>
      <c r="AC274" s="23">
        <f t="shared" si="229"/>
        <v>0</v>
      </c>
      <c r="AD274" s="23">
        <f t="shared" si="230"/>
        <v>0</v>
      </c>
      <c r="AE274" s="23">
        <f t="shared" si="231"/>
        <v>0</v>
      </c>
      <c r="AF274" s="23">
        <f t="shared" si="232"/>
        <v>0</v>
      </c>
      <c r="AG274" s="23">
        <f t="shared" si="233"/>
        <v>0</v>
      </c>
      <c r="AH274" s="23">
        <f t="shared" si="234"/>
        <v>0</v>
      </c>
      <c r="AI274" s="8" t="s">
        <v>53</v>
      </c>
      <c r="AJ274" s="23">
        <f t="shared" si="235"/>
        <v>0</v>
      </c>
      <c r="AK274" s="23">
        <f t="shared" si="236"/>
        <v>0</v>
      </c>
      <c r="AL274" s="23">
        <f t="shared" si="237"/>
        <v>0</v>
      </c>
      <c r="AN274" s="23">
        <v>21</v>
      </c>
      <c r="AO274" s="23">
        <f>G274*0.920202952</f>
        <v>0</v>
      </c>
      <c r="AP274" s="23">
        <f>G274*(1-0.920202952)</f>
        <v>0</v>
      </c>
      <c r="AQ274" s="25" t="s">
        <v>65</v>
      </c>
      <c r="AV274" s="23">
        <f t="shared" si="238"/>
        <v>0</v>
      </c>
      <c r="AW274" s="23">
        <f t="shared" si="239"/>
        <v>0</v>
      </c>
      <c r="AX274" s="23">
        <f t="shared" si="240"/>
        <v>0</v>
      </c>
      <c r="AY274" s="25" t="s">
        <v>740</v>
      </c>
      <c r="AZ274" s="25" t="s">
        <v>565</v>
      </c>
      <c r="BA274" s="8" t="s">
        <v>62</v>
      </c>
      <c r="BC274" s="23">
        <f t="shared" si="241"/>
        <v>0</v>
      </c>
      <c r="BD274" s="23">
        <f t="shared" si="242"/>
        <v>0</v>
      </c>
      <c r="BE274" s="23">
        <v>0</v>
      </c>
      <c r="BF274" s="23">
        <f>274</f>
        <v>274</v>
      </c>
      <c r="BH274" s="23">
        <f t="shared" si="243"/>
        <v>0</v>
      </c>
      <c r="BI274" s="23">
        <f t="shared" si="244"/>
        <v>0</v>
      </c>
      <c r="BJ274" s="23">
        <f t="shared" si="245"/>
        <v>0</v>
      </c>
      <c r="BK274" s="23"/>
      <c r="BL274" s="23"/>
      <c r="BW274" s="23">
        <v>21</v>
      </c>
    </row>
    <row r="275" spans="1:75" ht="13.5" customHeight="1" x14ac:dyDescent="0.25">
      <c r="A275" s="2" t="s">
        <v>821</v>
      </c>
      <c r="B275" s="3" t="s">
        <v>822</v>
      </c>
      <c r="C275" s="80" t="s">
        <v>823</v>
      </c>
      <c r="D275" s="75"/>
      <c r="E275" s="3" t="s">
        <v>68</v>
      </c>
      <c r="F275" s="23">
        <v>1</v>
      </c>
      <c r="G275" s="23">
        <v>0</v>
      </c>
      <c r="H275" s="23">
        <f t="shared" si="224"/>
        <v>0</v>
      </c>
      <c r="I275" s="23">
        <f t="shared" si="225"/>
        <v>0</v>
      </c>
      <c r="J275" s="23">
        <f t="shared" si="226"/>
        <v>0</v>
      </c>
      <c r="K275" s="23">
        <v>1E-3</v>
      </c>
      <c r="L275" s="24">
        <v>1E-3</v>
      </c>
      <c r="Z275" s="23">
        <f t="shared" si="227"/>
        <v>0</v>
      </c>
      <c r="AB275" s="23">
        <f t="shared" si="228"/>
        <v>0</v>
      </c>
      <c r="AC275" s="23">
        <f t="shared" si="229"/>
        <v>0</v>
      </c>
      <c r="AD275" s="23">
        <f t="shared" si="230"/>
        <v>0</v>
      </c>
      <c r="AE275" s="23">
        <f t="shared" si="231"/>
        <v>0</v>
      </c>
      <c r="AF275" s="23">
        <f t="shared" si="232"/>
        <v>0</v>
      </c>
      <c r="AG275" s="23">
        <f t="shared" si="233"/>
        <v>0</v>
      </c>
      <c r="AH275" s="23">
        <f t="shared" si="234"/>
        <v>0</v>
      </c>
      <c r="AI275" s="8" t="s">
        <v>53</v>
      </c>
      <c r="AJ275" s="23">
        <f t="shared" si="235"/>
        <v>0</v>
      </c>
      <c r="AK275" s="23">
        <f t="shared" si="236"/>
        <v>0</v>
      </c>
      <c r="AL275" s="23">
        <f t="shared" si="237"/>
        <v>0</v>
      </c>
      <c r="AN275" s="23">
        <v>21</v>
      </c>
      <c r="AO275" s="23">
        <f>G275*0.920276498</f>
        <v>0</v>
      </c>
      <c r="AP275" s="23">
        <f>G275*(1-0.920276498)</f>
        <v>0</v>
      </c>
      <c r="AQ275" s="25" t="s">
        <v>65</v>
      </c>
      <c r="AV275" s="23">
        <f t="shared" si="238"/>
        <v>0</v>
      </c>
      <c r="AW275" s="23">
        <f t="shared" si="239"/>
        <v>0</v>
      </c>
      <c r="AX275" s="23">
        <f t="shared" si="240"/>
        <v>0</v>
      </c>
      <c r="AY275" s="25" t="s">
        <v>740</v>
      </c>
      <c r="AZ275" s="25" t="s">
        <v>565</v>
      </c>
      <c r="BA275" s="8" t="s">
        <v>62</v>
      </c>
      <c r="BC275" s="23">
        <f t="shared" si="241"/>
        <v>0</v>
      </c>
      <c r="BD275" s="23">
        <f t="shared" si="242"/>
        <v>0</v>
      </c>
      <c r="BE275" s="23">
        <v>0</v>
      </c>
      <c r="BF275" s="23">
        <f>275</f>
        <v>275</v>
      </c>
      <c r="BH275" s="23">
        <f t="shared" si="243"/>
        <v>0</v>
      </c>
      <c r="BI275" s="23">
        <f t="shared" si="244"/>
        <v>0</v>
      </c>
      <c r="BJ275" s="23">
        <f t="shared" si="245"/>
        <v>0</v>
      </c>
      <c r="BK275" s="23"/>
      <c r="BL275" s="23"/>
      <c r="BW275" s="23">
        <v>21</v>
      </c>
    </row>
    <row r="276" spans="1:75" ht="13.5" customHeight="1" x14ac:dyDescent="0.25">
      <c r="A276" s="2" t="s">
        <v>824</v>
      </c>
      <c r="B276" s="3" t="s">
        <v>825</v>
      </c>
      <c r="C276" s="80" t="s">
        <v>826</v>
      </c>
      <c r="D276" s="75"/>
      <c r="E276" s="3" t="s">
        <v>358</v>
      </c>
      <c r="F276" s="23">
        <v>1</v>
      </c>
      <c r="G276" s="23">
        <v>0</v>
      </c>
      <c r="H276" s="23">
        <f t="shared" si="224"/>
        <v>0</v>
      </c>
      <c r="I276" s="23">
        <f t="shared" si="225"/>
        <v>0</v>
      </c>
      <c r="J276" s="23">
        <f t="shared" si="226"/>
        <v>0</v>
      </c>
      <c r="K276" s="23">
        <v>1E-3</v>
      </c>
      <c r="L276" s="24">
        <v>1E-3</v>
      </c>
      <c r="Z276" s="23">
        <f t="shared" si="227"/>
        <v>0</v>
      </c>
      <c r="AB276" s="23">
        <f t="shared" si="228"/>
        <v>0</v>
      </c>
      <c r="AC276" s="23">
        <f t="shared" si="229"/>
        <v>0</v>
      </c>
      <c r="AD276" s="23">
        <f t="shared" si="230"/>
        <v>0</v>
      </c>
      <c r="AE276" s="23">
        <f t="shared" si="231"/>
        <v>0</v>
      </c>
      <c r="AF276" s="23">
        <f t="shared" si="232"/>
        <v>0</v>
      </c>
      <c r="AG276" s="23">
        <f t="shared" si="233"/>
        <v>0</v>
      </c>
      <c r="AH276" s="23">
        <f t="shared" si="234"/>
        <v>0</v>
      </c>
      <c r="AI276" s="8" t="s">
        <v>53</v>
      </c>
      <c r="AJ276" s="23">
        <f t="shared" si="235"/>
        <v>0</v>
      </c>
      <c r="AK276" s="23">
        <f t="shared" si="236"/>
        <v>0</v>
      </c>
      <c r="AL276" s="23">
        <f t="shared" si="237"/>
        <v>0</v>
      </c>
      <c r="AN276" s="23">
        <v>21</v>
      </c>
      <c r="AO276" s="23">
        <f>G276*0.777251185</f>
        <v>0</v>
      </c>
      <c r="AP276" s="23">
        <f>G276*(1-0.777251185)</f>
        <v>0</v>
      </c>
      <c r="AQ276" s="25" t="s">
        <v>65</v>
      </c>
      <c r="AV276" s="23">
        <f t="shared" si="238"/>
        <v>0</v>
      </c>
      <c r="AW276" s="23">
        <f t="shared" si="239"/>
        <v>0</v>
      </c>
      <c r="AX276" s="23">
        <f t="shared" si="240"/>
        <v>0</v>
      </c>
      <c r="AY276" s="25" t="s">
        <v>740</v>
      </c>
      <c r="AZ276" s="25" t="s">
        <v>565</v>
      </c>
      <c r="BA276" s="8" t="s">
        <v>62</v>
      </c>
      <c r="BC276" s="23">
        <f t="shared" si="241"/>
        <v>0</v>
      </c>
      <c r="BD276" s="23">
        <f t="shared" si="242"/>
        <v>0</v>
      </c>
      <c r="BE276" s="23">
        <v>0</v>
      </c>
      <c r="BF276" s="23">
        <f>276</f>
        <v>276</v>
      </c>
      <c r="BH276" s="23">
        <f t="shared" si="243"/>
        <v>0</v>
      </c>
      <c r="BI276" s="23">
        <f t="shared" si="244"/>
        <v>0</v>
      </c>
      <c r="BJ276" s="23">
        <f t="shared" si="245"/>
        <v>0</v>
      </c>
      <c r="BK276" s="23"/>
      <c r="BL276" s="23"/>
      <c r="BW276" s="23">
        <v>21</v>
      </c>
    </row>
    <row r="277" spans="1:75" ht="13.5" customHeight="1" x14ac:dyDescent="0.25">
      <c r="A277" s="2" t="s">
        <v>827</v>
      </c>
      <c r="B277" s="3" t="s">
        <v>828</v>
      </c>
      <c r="C277" s="80" t="s">
        <v>829</v>
      </c>
      <c r="D277" s="75"/>
      <c r="E277" s="3" t="s">
        <v>68</v>
      </c>
      <c r="F277" s="23">
        <v>1</v>
      </c>
      <c r="G277" s="23">
        <v>0</v>
      </c>
      <c r="H277" s="23">
        <f t="shared" si="224"/>
        <v>0</v>
      </c>
      <c r="I277" s="23">
        <f t="shared" si="225"/>
        <v>0</v>
      </c>
      <c r="J277" s="23">
        <f t="shared" si="226"/>
        <v>0</v>
      </c>
      <c r="K277" s="23">
        <v>1E-3</v>
      </c>
      <c r="L277" s="24">
        <v>1E-3</v>
      </c>
      <c r="Z277" s="23">
        <f t="shared" si="227"/>
        <v>0</v>
      </c>
      <c r="AB277" s="23">
        <f t="shared" si="228"/>
        <v>0</v>
      </c>
      <c r="AC277" s="23">
        <f t="shared" si="229"/>
        <v>0</v>
      </c>
      <c r="AD277" s="23">
        <f t="shared" si="230"/>
        <v>0</v>
      </c>
      <c r="AE277" s="23">
        <f t="shared" si="231"/>
        <v>0</v>
      </c>
      <c r="AF277" s="23">
        <f t="shared" si="232"/>
        <v>0</v>
      </c>
      <c r="AG277" s="23">
        <f t="shared" si="233"/>
        <v>0</v>
      </c>
      <c r="AH277" s="23">
        <f t="shared" si="234"/>
        <v>0</v>
      </c>
      <c r="AI277" s="8" t="s">
        <v>53</v>
      </c>
      <c r="AJ277" s="23">
        <f t="shared" si="235"/>
        <v>0</v>
      </c>
      <c r="AK277" s="23">
        <f t="shared" si="236"/>
        <v>0</v>
      </c>
      <c r="AL277" s="23">
        <f t="shared" si="237"/>
        <v>0</v>
      </c>
      <c r="AN277" s="23">
        <v>21</v>
      </c>
      <c r="AO277" s="23">
        <f>G277*0.830552466</f>
        <v>0</v>
      </c>
      <c r="AP277" s="23">
        <f>G277*(1-0.830552466)</f>
        <v>0</v>
      </c>
      <c r="AQ277" s="25" t="s">
        <v>65</v>
      </c>
      <c r="AV277" s="23">
        <f t="shared" si="238"/>
        <v>0</v>
      </c>
      <c r="AW277" s="23">
        <f t="shared" si="239"/>
        <v>0</v>
      </c>
      <c r="AX277" s="23">
        <f t="shared" si="240"/>
        <v>0</v>
      </c>
      <c r="AY277" s="25" t="s">
        <v>740</v>
      </c>
      <c r="AZ277" s="25" t="s">
        <v>565</v>
      </c>
      <c r="BA277" s="8" t="s">
        <v>62</v>
      </c>
      <c r="BC277" s="23">
        <f t="shared" si="241"/>
        <v>0</v>
      </c>
      <c r="BD277" s="23">
        <f t="shared" si="242"/>
        <v>0</v>
      </c>
      <c r="BE277" s="23">
        <v>0</v>
      </c>
      <c r="BF277" s="23">
        <f>277</f>
        <v>277</v>
      </c>
      <c r="BH277" s="23">
        <f t="shared" si="243"/>
        <v>0</v>
      </c>
      <c r="BI277" s="23">
        <f t="shared" si="244"/>
        <v>0</v>
      </c>
      <c r="BJ277" s="23">
        <f t="shared" si="245"/>
        <v>0</v>
      </c>
      <c r="BK277" s="23"/>
      <c r="BL277" s="23"/>
      <c r="BW277" s="23">
        <v>21</v>
      </c>
    </row>
    <row r="278" spans="1:75" ht="13.5" customHeight="1" x14ac:dyDescent="0.25">
      <c r="A278" s="2" t="s">
        <v>830</v>
      </c>
      <c r="B278" s="3" t="s">
        <v>831</v>
      </c>
      <c r="C278" s="80" t="s">
        <v>832</v>
      </c>
      <c r="D278" s="75"/>
      <c r="E278" s="3" t="s">
        <v>68</v>
      </c>
      <c r="F278" s="23">
        <v>1</v>
      </c>
      <c r="G278" s="23">
        <v>0</v>
      </c>
      <c r="H278" s="23">
        <f t="shared" si="224"/>
        <v>0</v>
      </c>
      <c r="I278" s="23">
        <f t="shared" si="225"/>
        <v>0</v>
      </c>
      <c r="J278" s="23">
        <f t="shared" si="226"/>
        <v>0</v>
      </c>
      <c r="K278" s="23">
        <v>0</v>
      </c>
      <c r="L278" s="24">
        <v>0</v>
      </c>
      <c r="Z278" s="23">
        <f t="shared" si="227"/>
        <v>0</v>
      </c>
      <c r="AB278" s="23">
        <f t="shared" si="228"/>
        <v>0</v>
      </c>
      <c r="AC278" s="23">
        <f t="shared" si="229"/>
        <v>0</v>
      </c>
      <c r="AD278" s="23">
        <f t="shared" si="230"/>
        <v>0</v>
      </c>
      <c r="AE278" s="23">
        <f t="shared" si="231"/>
        <v>0</v>
      </c>
      <c r="AF278" s="23">
        <f t="shared" si="232"/>
        <v>0</v>
      </c>
      <c r="AG278" s="23">
        <f t="shared" si="233"/>
        <v>0</v>
      </c>
      <c r="AH278" s="23">
        <f t="shared" si="234"/>
        <v>0</v>
      </c>
      <c r="AI278" s="8" t="s">
        <v>53</v>
      </c>
      <c r="AJ278" s="23">
        <f t="shared" si="235"/>
        <v>0</v>
      </c>
      <c r="AK278" s="23">
        <f t="shared" si="236"/>
        <v>0</v>
      </c>
      <c r="AL278" s="23">
        <f t="shared" si="237"/>
        <v>0</v>
      </c>
      <c r="AN278" s="23">
        <v>21</v>
      </c>
      <c r="AO278" s="23">
        <f>G278*0</f>
        <v>0</v>
      </c>
      <c r="AP278" s="23">
        <f>G278*(1-0)</f>
        <v>0</v>
      </c>
      <c r="AQ278" s="25" t="s">
        <v>65</v>
      </c>
      <c r="AV278" s="23">
        <f t="shared" si="238"/>
        <v>0</v>
      </c>
      <c r="AW278" s="23">
        <f t="shared" si="239"/>
        <v>0</v>
      </c>
      <c r="AX278" s="23">
        <f t="shared" si="240"/>
        <v>0</v>
      </c>
      <c r="AY278" s="25" t="s">
        <v>740</v>
      </c>
      <c r="AZ278" s="25" t="s">
        <v>565</v>
      </c>
      <c r="BA278" s="8" t="s">
        <v>62</v>
      </c>
      <c r="BC278" s="23">
        <f t="shared" si="241"/>
        <v>0</v>
      </c>
      <c r="BD278" s="23">
        <f t="shared" si="242"/>
        <v>0</v>
      </c>
      <c r="BE278" s="23">
        <v>0</v>
      </c>
      <c r="BF278" s="23">
        <f>278</f>
        <v>278</v>
      </c>
      <c r="BH278" s="23">
        <f t="shared" si="243"/>
        <v>0</v>
      </c>
      <c r="BI278" s="23">
        <f t="shared" si="244"/>
        <v>0</v>
      </c>
      <c r="BJ278" s="23">
        <f t="shared" si="245"/>
        <v>0</v>
      </c>
      <c r="BK278" s="23"/>
      <c r="BL278" s="23"/>
      <c r="BW278" s="23">
        <v>21</v>
      </c>
    </row>
    <row r="279" spans="1:75" ht="13.5" customHeight="1" x14ac:dyDescent="0.25">
      <c r="A279" s="2" t="s">
        <v>833</v>
      </c>
      <c r="B279" s="3" t="s">
        <v>834</v>
      </c>
      <c r="C279" s="80" t="s">
        <v>835</v>
      </c>
      <c r="D279" s="75"/>
      <c r="E279" s="3" t="s">
        <v>68</v>
      </c>
      <c r="F279" s="23">
        <v>3</v>
      </c>
      <c r="G279" s="23">
        <v>0</v>
      </c>
      <c r="H279" s="23">
        <f t="shared" si="224"/>
        <v>0</v>
      </c>
      <c r="I279" s="23">
        <f t="shared" si="225"/>
        <v>0</v>
      </c>
      <c r="J279" s="23">
        <f t="shared" si="226"/>
        <v>0</v>
      </c>
      <c r="K279" s="23">
        <v>0</v>
      </c>
      <c r="L279" s="24">
        <v>0</v>
      </c>
      <c r="Z279" s="23">
        <f t="shared" si="227"/>
        <v>0</v>
      </c>
      <c r="AB279" s="23">
        <f t="shared" si="228"/>
        <v>0</v>
      </c>
      <c r="AC279" s="23">
        <f t="shared" si="229"/>
        <v>0</v>
      </c>
      <c r="AD279" s="23">
        <f t="shared" si="230"/>
        <v>0</v>
      </c>
      <c r="AE279" s="23">
        <f t="shared" si="231"/>
        <v>0</v>
      </c>
      <c r="AF279" s="23">
        <f t="shared" si="232"/>
        <v>0</v>
      </c>
      <c r="AG279" s="23">
        <f t="shared" si="233"/>
        <v>0</v>
      </c>
      <c r="AH279" s="23">
        <f t="shared" si="234"/>
        <v>0</v>
      </c>
      <c r="AI279" s="8" t="s">
        <v>53</v>
      </c>
      <c r="AJ279" s="23">
        <f t="shared" si="235"/>
        <v>0</v>
      </c>
      <c r="AK279" s="23">
        <f t="shared" si="236"/>
        <v>0</v>
      </c>
      <c r="AL279" s="23">
        <f t="shared" si="237"/>
        <v>0</v>
      </c>
      <c r="AN279" s="23">
        <v>21</v>
      </c>
      <c r="AO279" s="23">
        <f>G279*0.521645796</f>
        <v>0</v>
      </c>
      <c r="AP279" s="23">
        <f>G279*(1-0.521645796)</f>
        <v>0</v>
      </c>
      <c r="AQ279" s="25" t="s">
        <v>65</v>
      </c>
      <c r="AV279" s="23">
        <f t="shared" si="238"/>
        <v>0</v>
      </c>
      <c r="AW279" s="23">
        <f t="shared" si="239"/>
        <v>0</v>
      </c>
      <c r="AX279" s="23">
        <f t="shared" si="240"/>
        <v>0</v>
      </c>
      <c r="AY279" s="25" t="s">
        <v>740</v>
      </c>
      <c r="AZ279" s="25" t="s">
        <v>565</v>
      </c>
      <c r="BA279" s="8" t="s">
        <v>62</v>
      </c>
      <c r="BC279" s="23">
        <f t="shared" si="241"/>
        <v>0</v>
      </c>
      <c r="BD279" s="23">
        <f t="shared" si="242"/>
        <v>0</v>
      </c>
      <c r="BE279" s="23">
        <v>0</v>
      </c>
      <c r="BF279" s="23">
        <f>279</f>
        <v>279</v>
      </c>
      <c r="BH279" s="23">
        <f t="shared" si="243"/>
        <v>0</v>
      </c>
      <c r="BI279" s="23">
        <f t="shared" si="244"/>
        <v>0</v>
      </c>
      <c r="BJ279" s="23">
        <f t="shared" si="245"/>
        <v>0</v>
      </c>
      <c r="BK279" s="23"/>
      <c r="BL279" s="23"/>
      <c r="BW279" s="23">
        <v>21</v>
      </c>
    </row>
    <row r="280" spans="1:75" ht="13.5" customHeight="1" x14ac:dyDescent="0.25">
      <c r="A280" s="2" t="s">
        <v>836</v>
      </c>
      <c r="B280" s="3" t="s">
        <v>837</v>
      </c>
      <c r="C280" s="80" t="s">
        <v>838</v>
      </c>
      <c r="D280" s="75"/>
      <c r="E280" s="3" t="s">
        <v>68</v>
      </c>
      <c r="F280" s="23">
        <v>40</v>
      </c>
      <c r="G280" s="23">
        <v>0</v>
      </c>
      <c r="H280" s="23">
        <f t="shared" si="224"/>
        <v>0</v>
      </c>
      <c r="I280" s="23">
        <f t="shared" si="225"/>
        <v>0</v>
      </c>
      <c r="J280" s="23">
        <f t="shared" si="226"/>
        <v>0</v>
      </c>
      <c r="K280" s="23">
        <v>1.0000000000000001E-5</v>
      </c>
      <c r="L280" s="24">
        <v>1.0000000000000001E-5</v>
      </c>
      <c r="Z280" s="23">
        <f t="shared" si="227"/>
        <v>0</v>
      </c>
      <c r="AB280" s="23">
        <f t="shared" si="228"/>
        <v>0</v>
      </c>
      <c r="AC280" s="23">
        <f t="shared" si="229"/>
        <v>0</v>
      </c>
      <c r="AD280" s="23">
        <f t="shared" si="230"/>
        <v>0</v>
      </c>
      <c r="AE280" s="23">
        <f t="shared" si="231"/>
        <v>0</v>
      </c>
      <c r="AF280" s="23">
        <f t="shared" si="232"/>
        <v>0</v>
      </c>
      <c r="AG280" s="23">
        <f t="shared" si="233"/>
        <v>0</v>
      </c>
      <c r="AH280" s="23">
        <f t="shared" si="234"/>
        <v>0</v>
      </c>
      <c r="AI280" s="8" t="s">
        <v>53</v>
      </c>
      <c r="AJ280" s="23">
        <f t="shared" si="235"/>
        <v>0</v>
      </c>
      <c r="AK280" s="23">
        <f t="shared" si="236"/>
        <v>0</v>
      </c>
      <c r="AL280" s="23">
        <f t="shared" si="237"/>
        <v>0</v>
      </c>
      <c r="AN280" s="23">
        <v>21</v>
      </c>
      <c r="AO280" s="23">
        <f>G280*0.316659512</f>
        <v>0</v>
      </c>
      <c r="AP280" s="23">
        <f>G280*(1-0.316659512)</f>
        <v>0</v>
      </c>
      <c r="AQ280" s="25" t="s">
        <v>65</v>
      </c>
      <c r="AV280" s="23">
        <f t="shared" si="238"/>
        <v>0</v>
      </c>
      <c r="AW280" s="23">
        <f t="shared" si="239"/>
        <v>0</v>
      </c>
      <c r="AX280" s="23">
        <f t="shared" si="240"/>
        <v>0</v>
      </c>
      <c r="AY280" s="25" t="s">
        <v>740</v>
      </c>
      <c r="AZ280" s="25" t="s">
        <v>565</v>
      </c>
      <c r="BA280" s="8" t="s">
        <v>62</v>
      </c>
      <c r="BC280" s="23">
        <f t="shared" si="241"/>
        <v>0</v>
      </c>
      <c r="BD280" s="23">
        <f t="shared" si="242"/>
        <v>0</v>
      </c>
      <c r="BE280" s="23">
        <v>0</v>
      </c>
      <c r="BF280" s="23">
        <f>280</f>
        <v>280</v>
      </c>
      <c r="BH280" s="23">
        <f t="shared" si="243"/>
        <v>0</v>
      </c>
      <c r="BI280" s="23">
        <f t="shared" si="244"/>
        <v>0</v>
      </c>
      <c r="BJ280" s="23">
        <f t="shared" si="245"/>
        <v>0</v>
      </c>
      <c r="BK280" s="23"/>
      <c r="BL280" s="23"/>
      <c r="BW280" s="23">
        <v>21</v>
      </c>
    </row>
    <row r="281" spans="1:75" ht="13.5" customHeight="1" x14ac:dyDescent="0.25">
      <c r="A281" s="2" t="s">
        <v>839</v>
      </c>
      <c r="B281" s="3" t="s">
        <v>771</v>
      </c>
      <c r="C281" s="80" t="s">
        <v>840</v>
      </c>
      <c r="D281" s="75"/>
      <c r="E281" s="3" t="s">
        <v>68</v>
      </c>
      <c r="F281" s="23">
        <v>1</v>
      </c>
      <c r="G281" s="23">
        <v>0</v>
      </c>
      <c r="H281" s="23">
        <f t="shared" si="224"/>
        <v>0</v>
      </c>
      <c r="I281" s="23">
        <f t="shared" si="225"/>
        <v>0</v>
      </c>
      <c r="J281" s="23">
        <f t="shared" si="226"/>
        <v>0</v>
      </c>
      <c r="K281" s="23">
        <v>0.01</v>
      </c>
      <c r="L281" s="24">
        <v>0.01</v>
      </c>
      <c r="Z281" s="23">
        <f t="shared" si="227"/>
        <v>0</v>
      </c>
      <c r="AB281" s="23">
        <f t="shared" si="228"/>
        <v>0</v>
      </c>
      <c r="AC281" s="23">
        <f t="shared" si="229"/>
        <v>0</v>
      </c>
      <c r="AD281" s="23">
        <f t="shared" si="230"/>
        <v>0</v>
      </c>
      <c r="AE281" s="23">
        <f t="shared" si="231"/>
        <v>0</v>
      </c>
      <c r="AF281" s="23">
        <f t="shared" si="232"/>
        <v>0</v>
      </c>
      <c r="AG281" s="23">
        <f t="shared" si="233"/>
        <v>0</v>
      </c>
      <c r="AH281" s="23">
        <f t="shared" si="234"/>
        <v>0</v>
      </c>
      <c r="AI281" s="8" t="s">
        <v>53</v>
      </c>
      <c r="AJ281" s="23">
        <f t="shared" si="235"/>
        <v>0</v>
      </c>
      <c r="AK281" s="23">
        <f t="shared" si="236"/>
        <v>0</v>
      </c>
      <c r="AL281" s="23">
        <f t="shared" si="237"/>
        <v>0</v>
      </c>
      <c r="AN281" s="23">
        <v>21</v>
      </c>
      <c r="AO281" s="23">
        <f>G281*0.634127594</f>
        <v>0</v>
      </c>
      <c r="AP281" s="23">
        <f>G281*(1-0.634127594)</f>
        <v>0</v>
      </c>
      <c r="AQ281" s="25" t="s">
        <v>65</v>
      </c>
      <c r="AV281" s="23">
        <f t="shared" si="238"/>
        <v>0</v>
      </c>
      <c r="AW281" s="23">
        <f t="shared" si="239"/>
        <v>0</v>
      </c>
      <c r="AX281" s="23">
        <f t="shared" si="240"/>
        <v>0</v>
      </c>
      <c r="AY281" s="25" t="s">
        <v>740</v>
      </c>
      <c r="AZ281" s="25" t="s">
        <v>565</v>
      </c>
      <c r="BA281" s="8" t="s">
        <v>62</v>
      </c>
      <c r="BC281" s="23">
        <f t="shared" si="241"/>
        <v>0</v>
      </c>
      <c r="BD281" s="23">
        <f t="shared" si="242"/>
        <v>0</v>
      </c>
      <c r="BE281" s="23">
        <v>0</v>
      </c>
      <c r="BF281" s="23">
        <f>281</f>
        <v>281</v>
      </c>
      <c r="BH281" s="23">
        <f t="shared" si="243"/>
        <v>0</v>
      </c>
      <c r="BI281" s="23">
        <f t="shared" si="244"/>
        <v>0</v>
      </c>
      <c r="BJ281" s="23">
        <f t="shared" si="245"/>
        <v>0</v>
      </c>
      <c r="BK281" s="23"/>
      <c r="BL281" s="23"/>
      <c r="BW281" s="23">
        <v>21</v>
      </c>
    </row>
    <row r="282" spans="1:75" ht="13.5" customHeight="1" x14ac:dyDescent="0.25">
      <c r="A282" s="2" t="s">
        <v>841</v>
      </c>
      <c r="B282" s="3" t="s">
        <v>842</v>
      </c>
      <c r="C282" s="80" t="s">
        <v>843</v>
      </c>
      <c r="D282" s="75"/>
      <c r="E282" s="3" t="s">
        <v>68</v>
      </c>
      <c r="F282" s="23">
        <v>4</v>
      </c>
      <c r="G282" s="23">
        <v>0</v>
      </c>
      <c r="H282" s="23">
        <f t="shared" si="224"/>
        <v>0</v>
      </c>
      <c r="I282" s="23">
        <f t="shared" si="225"/>
        <v>0</v>
      </c>
      <c r="J282" s="23">
        <f t="shared" si="226"/>
        <v>0</v>
      </c>
      <c r="K282" s="23">
        <v>1E-3</v>
      </c>
      <c r="L282" s="24">
        <v>1E-3</v>
      </c>
      <c r="Z282" s="23">
        <f t="shared" si="227"/>
        <v>0</v>
      </c>
      <c r="AB282" s="23">
        <f t="shared" si="228"/>
        <v>0</v>
      </c>
      <c r="AC282" s="23">
        <f t="shared" si="229"/>
        <v>0</v>
      </c>
      <c r="AD282" s="23">
        <f t="shared" si="230"/>
        <v>0</v>
      </c>
      <c r="AE282" s="23">
        <f t="shared" si="231"/>
        <v>0</v>
      </c>
      <c r="AF282" s="23">
        <f t="shared" si="232"/>
        <v>0</v>
      </c>
      <c r="AG282" s="23">
        <f t="shared" si="233"/>
        <v>0</v>
      </c>
      <c r="AH282" s="23">
        <f t="shared" si="234"/>
        <v>0</v>
      </c>
      <c r="AI282" s="8" t="s">
        <v>53</v>
      </c>
      <c r="AJ282" s="23">
        <f t="shared" si="235"/>
        <v>0</v>
      </c>
      <c r="AK282" s="23">
        <f t="shared" si="236"/>
        <v>0</v>
      </c>
      <c r="AL282" s="23">
        <f t="shared" si="237"/>
        <v>0</v>
      </c>
      <c r="AN282" s="23">
        <v>21</v>
      </c>
      <c r="AO282" s="23">
        <f>G282*0.933786078</f>
        <v>0</v>
      </c>
      <c r="AP282" s="23">
        <f>G282*(1-0.933786078)</f>
        <v>0</v>
      </c>
      <c r="AQ282" s="25" t="s">
        <v>65</v>
      </c>
      <c r="AV282" s="23">
        <f t="shared" si="238"/>
        <v>0</v>
      </c>
      <c r="AW282" s="23">
        <f t="shared" si="239"/>
        <v>0</v>
      </c>
      <c r="AX282" s="23">
        <f t="shared" si="240"/>
        <v>0</v>
      </c>
      <c r="AY282" s="25" t="s">
        <v>740</v>
      </c>
      <c r="AZ282" s="25" t="s">
        <v>565</v>
      </c>
      <c r="BA282" s="8" t="s">
        <v>62</v>
      </c>
      <c r="BC282" s="23">
        <f t="shared" si="241"/>
        <v>0</v>
      </c>
      <c r="BD282" s="23">
        <f t="shared" si="242"/>
        <v>0</v>
      </c>
      <c r="BE282" s="23">
        <v>0</v>
      </c>
      <c r="BF282" s="23">
        <f>282</f>
        <v>282</v>
      </c>
      <c r="BH282" s="23">
        <f t="shared" si="243"/>
        <v>0</v>
      </c>
      <c r="BI282" s="23">
        <f t="shared" si="244"/>
        <v>0</v>
      </c>
      <c r="BJ282" s="23">
        <f t="shared" si="245"/>
        <v>0</v>
      </c>
      <c r="BK282" s="23"/>
      <c r="BL282" s="23"/>
      <c r="BW282" s="23">
        <v>21</v>
      </c>
    </row>
    <row r="283" spans="1:75" x14ac:dyDescent="0.25">
      <c r="A283" s="30"/>
      <c r="C283" s="31" t="s">
        <v>76</v>
      </c>
      <c r="D283" s="31" t="s">
        <v>844</v>
      </c>
      <c r="F283" s="32">
        <v>4</v>
      </c>
      <c r="L283" s="33"/>
    </row>
    <row r="284" spans="1:75" ht="27" customHeight="1" x14ac:dyDescent="0.25">
      <c r="A284" s="2" t="s">
        <v>845</v>
      </c>
      <c r="B284" s="3" t="s">
        <v>846</v>
      </c>
      <c r="C284" s="80" t="s">
        <v>847</v>
      </c>
      <c r="D284" s="75"/>
      <c r="E284" s="3" t="s">
        <v>68</v>
      </c>
      <c r="F284" s="23">
        <v>3</v>
      </c>
      <c r="G284" s="23">
        <v>0</v>
      </c>
      <c r="H284" s="23">
        <f>F284*AO284</f>
        <v>0</v>
      </c>
      <c r="I284" s="23">
        <f>F284*AP284</f>
        <v>0</v>
      </c>
      <c r="J284" s="23">
        <f>F284*G284</f>
        <v>0</v>
      </c>
      <c r="K284" s="23">
        <v>1E-3</v>
      </c>
      <c r="L284" s="24">
        <v>1E-3</v>
      </c>
      <c r="Z284" s="23">
        <f>IF(AQ284="5",BJ284,0)</f>
        <v>0</v>
      </c>
      <c r="AB284" s="23">
        <f>IF(AQ284="1",BH284,0)</f>
        <v>0</v>
      </c>
      <c r="AC284" s="23">
        <f>IF(AQ284="1",BI284,0)</f>
        <v>0</v>
      </c>
      <c r="AD284" s="23">
        <f>IF(AQ284="7",BH284,0)</f>
        <v>0</v>
      </c>
      <c r="AE284" s="23">
        <f>IF(AQ284="7",BI284,0)</f>
        <v>0</v>
      </c>
      <c r="AF284" s="23">
        <f>IF(AQ284="2",BH284,0)</f>
        <v>0</v>
      </c>
      <c r="AG284" s="23">
        <f>IF(AQ284="2",BI284,0)</f>
        <v>0</v>
      </c>
      <c r="AH284" s="23">
        <f>IF(AQ284="0",BJ284,0)</f>
        <v>0</v>
      </c>
      <c r="AI284" s="8" t="s">
        <v>53</v>
      </c>
      <c r="AJ284" s="23">
        <f>IF(AN284=0,J284,0)</f>
        <v>0</v>
      </c>
      <c r="AK284" s="23">
        <f>IF(AN284=12,J284,0)</f>
        <v>0</v>
      </c>
      <c r="AL284" s="23">
        <f>IF(AN284=21,J284,0)</f>
        <v>0</v>
      </c>
      <c r="AN284" s="23">
        <v>21</v>
      </c>
      <c r="AO284" s="23">
        <f>G284*0.909168298</f>
        <v>0</v>
      </c>
      <c r="AP284" s="23">
        <f>G284*(1-0.909168298)</f>
        <v>0</v>
      </c>
      <c r="AQ284" s="25" t="s">
        <v>65</v>
      </c>
      <c r="AV284" s="23">
        <f>AW284+AX284</f>
        <v>0</v>
      </c>
      <c r="AW284" s="23">
        <f>F284*AO284</f>
        <v>0</v>
      </c>
      <c r="AX284" s="23">
        <f>F284*AP284</f>
        <v>0</v>
      </c>
      <c r="AY284" s="25" t="s">
        <v>740</v>
      </c>
      <c r="AZ284" s="25" t="s">
        <v>565</v>
      </c>
      <c r="BA284" s="8" t="s">
        <v>62</v>
      </c>
      <c r="BC284" s="23">
        <f>AW284+AX284</f>
        <v>0</v>
      </c>
      <c r="BD284" s="23">
        <f>G284/(100-BE284)*100</f>
        <v>0</v>
      </c>
      <c r="BE284" s="23">
        <v>0</v>
      </c>
      <c r="BF284" s="23">
        <f>284</f>
        <v>284</v>
      </c>
      <c r="BH284" s="23">
        <f>F284*AO284</f>
        <v>0</v>
      </c>
      <c r="BI284" s="23">
        <f>F284*AP284</f>
        <v>0</v>
      </c>
      <c r="BJ284" s="23">
        <f>F284*G284</f>
        <v>0</v>
      </c>
      <c r="BK284" s="23"/>
      <c r="BL284" s="23"/>
      <c r="BW284" s="23">
        <v>21</v>
      </c>
    </row>
    <row r="285" spans="1:75" x14ac:dyDescent="0.25">
      <c r="A285" s="30"/>
      <c r="C285" s="31" t="s">
        <v>848</v>
      </c>
      <c r="D285" s="31" t="s">
        <v>849</v>
      </c>
      <c r="F285" s="32">
        <v>3</v>
      </c>
      <c r="L285" s="33"/>
    </row>
    <row r="286" spans="1:75" ht="13.5" customHeight="1" x14ac:dyDescent="0.25">
      <c r="A286" s="2" t="s">
        <v>850</v>
      </c>
      <c r="B286" s="3" t="s">
        <v>851</v>
      </c>
      <c r="C286" s="80" t="s">
        <v>852</v>
      </c>
      <c r="D286" s="75"/>
      <c r="E286" s="3" t="s">
        <v>68</v>
      </c>
      <c r="F286" s="23">
        <v>1</v>
      </c>
      <c r="G286" s="23">
        <v>0</v>
      </c>
      <c r="H286" s="23">
        <f>F286*AO286</f>
        <v>0</v>
      </c>
      <c r="I286" s="23">
        <f>F286*AP286</f>
        <v>0</v>
      </c>
      <c r="J286" s="23">
        <f>F286*G286</f>
        <v>0</v>
      </c>
      <c r="K286" s="23">
        <v>1E-3</v>
      </c>
      <c r="L286" s="24">
        <v>1E-3</v>
      </c>
      <c r="Z286" s="23">
        <f>IF(AQ286="5",BJ286,0)</f>
        <v>0</v>
      </c>
      <c r="AB286" s="23">
        <f>IF(AQ286="1",BH286,0)</f>
        <v>0</v>
      </c>
      <c r="AC286" s="23">
        <f>IF(AQ286="1",BI286,0)</f>
        <v>0</v>
      </c>
      <c r="AD286" s="23">
        <f>IF(AQ286="7",BH286,0)</f>
        <v>0</v>
      </c>
      <c r="AE286" s="23">
        <f>IF(AQ286="7",BI286,0)</f>
        <v>0</v>
      </c>
      <c r="AF286" s="23">
        <f>IF(AQ286="2",BH286,0)</f>
        <v>0</v>
      </c>
      <c r="AG286" s="23">
        <f>IF(AQ286="2",BI286,0)</f>
        <v>0</v>
      </c>
      <c r="AH286" s="23">
        <f>IF(AQ286="0",BJ286,0)</f>
        <v>0</v>
      </c>
      <c r="AI286" s="8" t="s">
        <v>53</v>
      </c>
      <c r="AJ286" s="23">
        <f>IF(AN286=0,J286,0)</f>
        <v>0</v>
      </c>
      <c r="AK286" s="23">
        <f>IF(AN286=12,J286,0)</f>
        <v>0</v>
      </c>
      <c r="AL286" s="23">
        <f>IF(AN286=21,J286,0)</f>
        <v>0</v>
      </c>
      <c r="AN286" s="23">
        <v>21</v>
      </c>
      <c r="AO286" s="23">
        <f>G286*0.972111554</f>
        <v>0</v>
      </c>
      <c r="AP286" s="23">
        <f>G286*(1-0.972111554)</f>
        <v>0</v>
      </c>
      <c r="AQ286" s="25" t="s">
        <v>56</v>
      </c>
      <c r="AV286" s="23">
        <f>AW286+AX286</f>
        <v>0</v>
      </c>
      <c r="AW286" s="23">
        <f>F286*AO286</f>
        <v>0</v>
      </c>
      <c r="AX286" s="23">
        <f>F286*AP286</f>
        <v>0</v>
      </c>
      <c r="AY286" s="25" t="s">
        <v>740</v>
      </c>
      <c r="AZ286" s="25" t="s">
        <v>565</v>
      </c>
      <c r="BA286" s="8" t="s">
        <v>62</v>
      </c>
      <c r="BC286" s="23">
        <f>AW286+AX286</f>
        <v>0</v>
      </c>
      <c r="BD286" s="23">
        <f>G286/(100-BE286)*100</f>
        <v>0</v>
      </c>
      <c r="BE286" s="23">
        <v>0</v>
      </c>
      <c r="BF286" s="23">
        <f>286</f>
        <v>286</v>
      </c>
      <c r="BH286" s="23">
        <f>F286*AO286</f>
        <v>0</v>
      </c>
      <c r="BI286" s="23">
        <f>F286*AP286</f>
        <v>0</v>
      </c>
      <c r="BJ286" s="23">
        <f>F286*G286</f>
        <v>0</v>
      </c>
      <c r="BK286" s="23"/>
      <c r="BL286" s="23"/>
      <c r="BW286" s="23">
        <v>21</v>
      </c>
    </row>
    <row r="287" spans="1:75" ht="13.5" customHeight="1" x14ac:dyDescent="0.25">
      <c r="A287" s="2" t="s">
        <v>853</v>
      </c>
      <c r="B287" s="3" t="s">
        <v>854</v>
      </c>
      <c r="C287" s="80" t="s">
        <v>855</v>
      </c>
      <c r="D287" s="75"/>
      <c r="E287" s="3" t="s">
        <v>68</v>
      </c>
      <c r="F287" s="23">
        <v>1</v>
      </c>
      <c r="G287" s="23">
        <v>0</v>
      </c>
      <c r="H287" s="23">
        <f>F287*AO287</f>
        <v>0</v>
      </c>
      <c r="I287" s="23">
        <f>F287*AP287</f>
        <v>0</v>
      </c>
      <c r="J287" s="23">
        <f>F287*G287</f>
        <v>0</v>
      </c>
      <c r="K287" s="23">
        <v>2.9999999999999997E-4</v>
      </c>
      <c r="L287" s="24">
        <v>2.9999999999999997E-4</v>
      </c>
      <c r="Z287" s="23">
        <f>IF(AQ287="5",BJ287,0)</f>
        <v>0</v>
      </c>
      <c r="AB287" s="23">
        <f>IF(AQ287="1",BH287,0)</f>
        <v>0</v>
      </c>
      <c r="AC287" s="23">
        <f>IF(AQ287="1",BI287,0)</f>
        <v>0</v>
      </c>
      <c r="AD287" s="23">
        <f>IF(AQ287="7",BH287,0)</f>
        <v>0</v>
      </c>
      <c r="AE287" s="23">
        <f>IF(AQ287="7",BI287,0)</f>
        <v>0</v>
      </c>
      <c r="AF287" s="23">
        <f>IF(AQ287="2",BH287,0)</f>
        <v>0</v>
      </c>
      <c r="AG287" s="23">
        <f>IF(AQ287="2",BI287,0)</f>
        <v>0</v>
      </c>
      <c r="AH287" s="23">
        <f>IF(AQ287="0",BJ287,0)</f>
        <v>0</v>
      </c>
      <c r="AI287" s="8" t="s">
        <v>53</v>
      </c>
      <c r="AJ287" s="23">
        <f>IF(AN287=0,J287,0)</f>
        <v>0</v>
      </c>
      <c r="AK287" s="23">
        <f>IF(AN287=12,J287,0)</f>
        <v>0</v>
      </c>
      <c r="AL287" s="23">
        <f>IF(AN287=21,J287,0)</f>
        <v>0</v>
      </c>
      <c r="AN287" s="23">
        <v>21</v>
      </c>
      <c r="AO287" s="23">
        <f>G287*0.767195767</f>
        <v>0</v>
      </c>
      <c r="AP287" s="23">
        <f>G287*(1-0.767195767)</f>
        <v>0</v>
      </c>
      <c r="AQ287" s="25" t="s">
        <v>65</v>
      </c>
      <c r="AV287" s="23">
        <f>AW287+AX287</f>
        <v>0</v>
      </c>
      <c r="AW287" s="23">
        <f>F287*AO287</f>
        <v>0</v>
      </c>
      <c r="AX287" s="23">
        <f>F287*AP287</f>
        <v>0</v>
      </c>
      <c r="AY287" s="25" t="s">
        <v>740</v>
      </c>
      <c r="AZ287" s="25" t="s">
        <v>565</v>
      </c>
      <c r="BA287" s="8" t="s">
        <v>62</v>
      </c>
      <c r="BC287" s="23">
        <f>AW287+AX287</f>
        <v>0</v>
      </c>
      <c r="BD287" s="23">
        <f>G287/(100-BE287)*100</f>
        <v>0</v>
      </c>
      <c r="BE287" s="23">
        <v>0</v>
      </c>
      <c r="BF287" s="23">
        <f>287</f>
        <v>287</v>
      </c>
      <c r="BH287" s="23">
        <f>F287*AO287</f>
        <v>0</v>
      </c>
      <c r="BI287" s="23">
        <f>F287*AP287</f>
        <v>0</v>
      </c>
      <c r="BJ287" s="23">
        <f>F287*G287</f>
        <v>0</v>
      </c>
      <c r="BK287" s="23"/>
      <c r="BL287" s="23"/>
      <c r="BW287" s="23">
        <v>21</v>
      </c>
    </row>
    <row r="288" spans="1:75" ht="13.5" customHeight="1" x14ac:dyDescent="0.25">
      <c r="A288" s="2" t="s">
        <v>856</v>
      </c>
      <c r="B288" s="3" t="s">
        <v>857</v>
      </c>
      <c r="C288" s="80" t="s">
        <v>858</v>
      </c>
      <c r="D288" s="75"/>
      <c r="E288" s="3" t="s">
        <v>68</v>
      </c>
      <c r="F288" s="23">
        <v>4</v>
      </c>
      <c r="G288" s="23">
        <v>0</v>
      </c>
      <c r="H288" s="23">
        <f>F288*AO288</f>
        <v>0</v>
      </c>
      <c r="I288" s="23">
        <f>F288*AP288</f>
        <v>0</v>
      </c>
      <c r="J288" s="23">
        <f>F288*G288</f>
        <v>0</v>
      </c>
      <c r="K288" s="23">
        <v>1E-3</v>
      </c>
      <c r="L288" s="24">
        <v>1E-3</v>
      </c>
      <c r="Z288" s="23">
        <f>IF(AQ288="5",BJ288,0)</f>
        <v>0</v>
      </c>
      <c r="AB288" s="23">
        <f>IF(AQ288="1",BH288,0)</f>
        <v>0</v>
      </c>
      <c r="AC288" s="23">
        <f>IF(AQ288="1",BI288,0)</f>
        <v>0</v>
      </c>
      <c r="AD288" s="23">
        <f>IF(AQ288="7",BH288,0)</f>
        <v>0</v>
      </c>
      <c r="AE288" s="23">
        <f>IF(AQ288="7",BI288,0)</f>
        <v>0</v>
      </c>
      <c r="AF288" s="23">
        <f>IF(AQ288="2",BH288,0)</f>
        <v>0</v>
      </c>
      <c r="AG288" s="23">
        <f>IF(AQ288="2",BI288,0)</f>
        <v>0</v>
      </c>
      <c r="AH288" s="23">
        <f>IF(AQ288="0",BJ288,0)</f>
        <v>0</v>
      </c>
      <c r="AI288" s="8" t="s">
        <v>53</v>
      </c>
      <c r="AJ288" s="23">
        <f>IF(AN288=0,J288,0)</f>
        <v>0</v>
      </c>
      <c r="AK288" s="23">
        <f>IF(AN288=12,J288,0)</f>
        <v>0</v>
      </c>
      <c r="AL288" s="23">
        <f>IF(AN288=21,J288,0)</f>
        <v>0</v>
      </c>
      <c r="AN288" s="23">
        <v>21</v>
      </c>
      <c r="AO288" s="23">
        <f>G288*1</f>
        <v>0</v>
      </c>
      <c r="AP288" s="23">
        <f>G288*(1-1)</f>
        <v>0</v>
      </c>
      <c r="AQ288" s="25" t="s">
        <v>56</v>
      </c>
      <c r="AV288" s="23">
        <f>AW288+AX288</f>
        <v>0</v>
      </c>
      <c r="AW288" s="23">
        <f>F288*AO288</f>
        <v>0</v>
      </c>
      <c r="AX288" s="23">
        <f>F288*AP288</f>
        <v>0</v>
      </c>
      <c r="AY288" s="25" t="s">
        <v>740</v>
      </c>
      <c r="AZ288" s="25" t="s">
        <v>565</v>
      </c>
      <c r="BA288" s="8" t="s">
        <v>62</v>
      </c>
      <c r="BC288" s="23">
        <f>AW288+AX288</f>
        <v>0</v>
      </c>
      <c r="BD288" s="23">
        <f>G288/(100-BE288)*100</f>
        <v>0</v>
      </c>
      <c r="BE288" s="23">
        <v>0</v>
      </c>
      <c r="BF288" s="23">
        <f>288</f>
        <v>288</v>
      </c>
      <c r="BH288" s="23">
        <f>F288*AO288</f>
        <v>0</v>
      </c>
      <c r="BI288" s="23">
        <f>F288*AP288</f>
        <v>0</v>
      </c>
      <c r="BJ288" s="23">
        <f>F288*G288</f>
        <v>0</v>
      </c>
      <c r="BK288" s="23"/>
      <c r="BL288" s="23"/>
      <c r="BW288" s="23">
        <v>21</v>
      </c>
    </row>
    <row r="289" spans="1:75" ht="13.5" customHeight="1" x14ac:dyDescent="0.25">
      <c r="A289" s="2" t="s">
        <v>859</v>
      </c>
      <c r="B289" s="3" t="s">
        <v>857</v>
      </c>
      <c r="C289" s="80" t="s">
        <v>860</v>
      </c>
      <c r="D289" s="75"/>
      <c r="E289" s="3" t="s">
        <v>68</v>
      </c>
      <c r="F289" s="23">
        <v>3</v>
      </c>
      <c r="G289" s="23">
        <v>0</v>
      </c>
      <c r="H289" s="23">
        <f>F289*AO289</f>
        <v>0</v>
      </c>
      <c r="I289" s="23">
        <f>F289*AP289</f>
        <v>0</v>
      </c>
      <c r="J289" s="23">
        <f>F289*G289</f>
        <v>0</v>
      </c>
      <c r="K289" s="23">
        <v>1E-3</v>
      </c>
      <c r="L289" s="24">
        <v>1E-3</v>
      </c>
      <c r="Z289" s="23">
        <f>IF(AQ289="5",BJ289,0)</f>
        <v>0</v>
      </c>
      <c r="AB289" s="23">
        <f>IF(AQ289="1",BH289,0)</f>
        <v>0</v>
      </c>
      <c r="AC289" s="23">
        <f>IF(AQ289="1",BI289,0)</f>
        <v>0</v>
      </c>
      <c r="AD289" s="23">
        <f>IF(AQ289="7",BH289,0)</f>
        <v>0</v>
      </c>
      <c r="AE289" s="23">
        <f>IF(AQ289="7",BI289,0)</f>
        <v>0</v>
      </c>
      <c r="AF289" s="23">
        <f>IF(AQ289="2",BH289,0)</f>
        <v>0</v>
      </c>
      <c r="AG289" s="23">
        <f>IF(AQ289="2",BI289,0)</f>
        <v>0</v>
      </c>
      <c r="AH289" s="23">
        <f>IF(AQ289="0",BJ289,0)</f>
        <v>0</v>
      </c>
      <c r="AI289" s="8" t="s">
        <v>53</v>
      </c>
      <c r="AJ289" s="23">
        <f>IF(AN289=0,J289,0)</f>
        <v>0</v>
      </c>
      <c r="AK289" s="23">
        <f>IF(AN289=12,J289,0)</f>
        <v>0</v>
      </c>
      <c r="AL289" s="23">
        <f>IF(AN289=21,J289,0)</f>
        <v>0</v>
      </c>
      <c r="AN289" s="23">
        <v>21</v>
      </c>
      <c r="AO289" s="23">
        <f>G289*1</f>
        <v>0</v>
      </c>
      <c r="AP289" s="23">
        <f>G289*(1-1)</f>
        <v>0</v>
      </c>
      <c r="AQ289" s="25" t="s">
        <v>56</v>
      </c>
      <c r="AV289" s="23">
        <f>AW289+AX289</f>
        <v>0</v>
      </c>
      <c r="AW289" s="23">
        <f>F289*AO289</f>
        <v>0</v>
      </c>
      <c r="AX289" s="23">
        <f>F289*AP289</f>
        <v>0</v>
      </c>
      <c r="AY289" s="25" t="s">
        <v>740</v>
      </c>
      <c r="AZ289" s="25" t="s">
        <v>565</v>
      </c>
      <c r="BA289" s="8" t="s">
        <v>62</v>
      </c>
      <c r="BC289" s="23">
        <f>AW289+AX289</f>
        <v>0</v>
      </c>
      <c r="BD289" s="23">
        <f>G289/(100-BE289)*100</f>
        <v>0</v>
      </c>
      <c r="BE289" s="23">
        <v>0</v>
      </c>
      <c r="BF289" s="23">
        <f>289</f>
        <v>289</v>
      </c>
      <c r="BH289" s="23">
        <f>F289*AO289</f>
        <v>0</v>
      </c>
      <c r="BI289" s="23">
        <f>F289*AP289</f>
        <v>0</v>
      </c>
      <c r="BJ289" s="23">
        <f>F289*G289</f>
        <v>0</v>
      </c>
      <c r="BK289" s="23"/>
      <c r="BL289" s="23"/>
      <c r="BW289" s="23">
        <v>21</v>
      </c>
    </row>
    <row r="290" spans="1:75" x14ac:dyDescent="0.25">
      <c r="A290" s="26" t="s">
        <v>53</v>
      </c>
      <c r="B290" s="27" t="s">
        <v>861</v>
      </c>
      <c r="C290" s="98" t="s">
        <v>862</v>
      </c>
      <c r="D290" s="99"/>
      <c r="E290" s="28" t="s">
        <v>10</v>
      </c>
      <c r="F290" s="28" t="s">
        <v>10</v>
      </c>
      <c r="G290" s="28" t="s">
        <v>10</v>
      </c>
      <c r="H290" s="1">
        <f>SUM(H291:H298)</f>
        <v>0</v>
      </c>
      <c r="I290" s="1">
        <f>SUM(I291:I298)</f>
        <v>0</v>
      </c>
      <c r="J290" s="1">
        <f>SUM(J291:J298)</f>
        <v>0</v>
      </c>
      <c r="K290" s="8" t="s">
        <v>53</v>
      </c>
      <c r="L290" s="29" t="s">
        <v>53</v>
      </c>
      <c r="AI290" s="8" t="s">
        <v>53</v>
      </c>
      <c r="AS290" s="1">
        <f>SUM(AJ291:AJ298)</f>
        <v>0</v>
      </c>
      <c r="AT290" s="1">
        <f>SUM(AK291:AK298)</f>
        <v>0</v>
      </c>
      <c r="AU290" s="1">
        <f>SUM(AL291:AL298)</f>
        <v>0</v>
      </c>
    </row>
    <row r="291" spans="1:75" ht="13.5" customHeight="1" x14ac:dyDescent="0.25">
      <c r="A291" s="2" t="s">
        <v>863</v>
      </c>
      <c r="B291" s="3" t="s">
        <v>864</v>
      </c>
      <c r="C291" s="80" t="s">
        <v>865</v>
      </c>
      <c r="D291" s="75"/>
      <c r="E291" s="3" t="s">
        <v>358</v>
      </c>
      <c r="F291" s="23">
        <v>2</v>
      </c>
      <c r="G291" s="23">
        <v>0</v>
      </c>
      <c r="H291" s="23">
        <f t="shared" ref="H291:H298" si="246">F291*AO291</f>
        <v>0</v>
      </c>
      <c r="I291" s="23">
        <f t="shared" ref="I291:I298" si="247">F291*AP291</f>
        <v>0</v>
      </c>
      <c r="J291" s="23">
        <f t="shared" ref="J291:J298" si="248">F291*G291</f>
        <v>0</v>
      </c>
      <c r="K291" s="23">
        <v>0</v>
      </c>
      <c r="L291" s="24">
        <v>0</v>
      </c>
      <c r="Z291" s="23">
        <f t="shared" ref="Z291:Z298" si="249">IF(AQ291="5",BJ291,0)</f>
        <v>0</v>
      </c>
      <c r="AB291" s="23">
        <f t="shared" ref="AB291:AB298" si="250">IF(AQ291="1",BH291,0)</f>
        <v>0</v>
      </c>
      <c r="AC291" s="23">
        <f t="shared" ref="AC291:AC298" si="251">IF(AQ291="1",BI291,0)</f>
        <v>0</v>
      </c>
      <c r="AD291" s="23">
        <f t="shared" ref="AD291:AD298" si="252">IF(AQ291="7",BH291,0)</f>
        <v>0</v>
      </c>
      <c r="AE291" s="23">
        <f t="shared" ref="AE291:AE298" si="253">IF(AQ291="7",BI291,0)</f>
        <v>0</v>
      </c>
      <c r="AF291" s="23">
        <f t="shared" ref="AF291:AF298" si="254">IF(AQ291="2",BH291,0)</f>
        <v>0</v>
      </c>
      <c r="AG291" s="23">
        <f t="shared" ref="AG291:AG298" si="255">IF(AQ291="2",BI291,0)</f>
        <v>0</v>
      </c>
      <c r="AH291" s="23">
        <f t="shared" ref="AH291:AH298" si="256">IF(AQ291="0",BJ291,0)</f>
        <v>0</v>
      </c>
      <c r="AI291" s="8" t="s">
        <v>53</v>
      </c>
      <c r="AJ291" s="23">
        <f t="shared" ref="AJ291:AJ298" si="257">IF(AN291=0,J291,0)</f>
        <v>0</v>
      </c>
      <c r="AK291" s="23">
        <f t="shared" ref="AK291:AK298" si="258">IF(AN291=12,J291,0)</f>
        <v>0</v>
      </c>
      <c r="AL291" s="23">
        <f t="shared" ref="AL291:AL298" si="259">IF(AN291=21,J291,0)</f>
        <v>0</v>
      </c>
      <c r="AN291" s="23">
        <v>21</v>
      </c>
      <c r="AO291" s="23">
        <f t="shared" ref="AO291:AO298" si="260">G291*0</f>
        <v>0</v>
      </c>
      <c r="AP291" s="23">
        <f t="shared" ref="AP291:AP298" si="261">G291*(1-0)</f>
        <v>0</v>
      </c>
      <c r="AQ291" s="25" t="s">
        <v>65</v>
      </c>
      <c r="AV291" s="23">
        <f t="shared" ref="AV291:AV298" si="262">AW291+AX291</f>
        <v>0</v>
      </c>
      <c r="AW291" s="23">
        <f t="shared" ref="AW291:AW298" si="263">F291*AO291</f>
        <v>0</v>
      </c>
      <c r="AX291" s="23">
        <f t="shared" ref="AX291:AX298" si="264">F291*AP291</f>
        <v>0</v>
      </c>
      <c r="AY291" s="25" t="s">
        <v>866</v>
      </c>
      <c r="AZ291" s="25" t="s">
        <v>565</v>
      </c>
      <c r="BA291" s="8" t="s">
        <v>62</v>
      </c>
      <c r="BC291" s="23">
        <f t="shared" ref="BC291:BC298" si="265">AW291+AX291</f>
        <v>0</v>
      </c>
      <c r="BD291" s="23">
        <f t="shared" ref="BD291:BD298" si="266">G291/(100-BE291)*100</f>
        <v>0</v>
      </c>
      <c r="BE291" s="23">
        <v>0</v>
      </c>
      <c r="BF291" s="23">
        <f>291</f>
        <v>291</v>
      </c>
      <c r="BH291" s="23">
        <f t="shared" ref="BH291:BH298" si="267">F291*AO291</f>
        <v>0</v>
      </c>
      <c r="BI291" s="23">
        <f t="shared" ref="BI291:BI298" si="268">F291*AP291</f>
        <v>0</v>
      </c>
      <c r="BJ291" s="23">
        <f t="shared" ref="BJ291:BJ298" si="269">F291*G291</f>
        <v>0</v>
      </c>
      <c r="BK291" s="23"/>
      <c r="BL291" s="23"/>
      <c r="BW291" s="23">
        <v>21</v>
      </c>
    </row>
    <row r="292" spans="1:75" ht="13.5" customHeight="1" x14ac:dyDescent="0.25">
      <c r="A292" s="2" t="s">
        <v>867</v>
      </c>
      <c r="B292" s="3" t="s">
        <v>868</v>
      </c>
      <c r="C292" s="80" t="s">
        <v>869</v>
      </c>
      <c r="D292" s="75"/>
      <c r="E292" s="3" t="s">
        <v>358</v>
      </c>
      <c r="F292" s="23">
        <v>3</v>
      </c>
      <c r="G292" s="23">
        <v>0</v>
      </c>
      <c r="H292" s="23">
        <f t="shared" si="246"/>
        <v>0</v>
      </c>
      <c r="I292" s="23">
        <f t="shared" si="247"/>
        <v>0</v>
      </c>
      <c r="J292" s="23">
        <f t="shared" si="248"/>
        <v>0</v>
      </c>
      <c r="K292" s="23">
        <v>0</v>
      </c>
      <c r="L292" s="24">
        <v>0</v>
      </c>
      <c r="Z292" s="23">
        <f t="shared" si="249"/>
        <v>0</v>
      </c>
      <c r="AB292" s="23">
        <f t="shared" si="250"/>
        <v>0</v>
      </c>
      <c r="AC292" s="23">
        <f t="shared" si="251"/>
        <v>0</v>
      </c>
      <c r="AD292" s="23">
        <f t="shared" si="252"/>
        <v>0</v>
      </c>
      <c r="AE292" s="23">
        <f t="shared" si="253"/>
        <v>0</v>
      </c>
      <c r="AF292" s="23">
        <f t="shared" si="254"/>
        <v>0</v>
      </c>
      <c r="AG292" s="23">
        <f t="shared" si="255"/>
        <v>0</v>
      </c>
      <c r="AH292" s="23">
        <f t="shared" si="256"/>
        <v>0</v>
      </c>
      <c r="AI292" s="8" t="s">
        <v>53</v>
      </c>
      <c r="AJ292" s="23">
        <f t="shared" si="257"/>
        <v>0</v>
      </c>
      <c r="AK292" s="23">
        <f t="shared" si="258"/>
        <v>0</v>
      </c>
      <c r="AL292" s="23">
        <f t="shared" si="259"/>
        <v>0</v>
      </c>
      <c r="AN292" s="23">
        <v>21</v>
      </c>
      <c r="AO292" s="23">
        <f t="shared" si="260"/>
        <v>0</v>
      </c>
      <c r="AP292" s="23">
        <f t="shared" si="261"/>
        <v>0</v>
      </c>
      <c r="AQ292" s="25" t="s">
        <v>65</v>
      </c>
      <c r="AV292" s="23">
        <f t="shared" si="262"/>
        <v>0</v>
      </c>
      <c r="AW292" s="23">
        <f t="shared" si="263"/>
        <v>0</v>
      </c>
      <c r="AX292" s="23">
        <f t="shared" si="264"/>
        <v>0</v>
      </c>
      <c r="AY292" s="25" t="s">
        <v>866</v>
      </c>
      <c r="AZ292" s="25" t="s">
        <v>565</v>
      </c>
      <c r="BA292" s="8" t="s">
        <v>62</v>
      </c>
      <c r="BC292" s="23">
        <f t="shared" si="265"/>
        <v>0</v>
      </c>
      <c r="BD292" s="23">
        <f t="shared" si="266"/>
        <v>0</v>
      </c>
      <c r="BE292" s="23">
        <v>0</v>
      </c>
      <c r="BF292" s="23">
        <f>292</f>
        <v>292</v>
      </c>
      <c r="BH292" s="23">
        <f t="shared" si="267"/>
        <v>0</v>
      </c>
      <c r="BI292" s="23">
        <f t="shared" si="268"/>
        <v>0</v>
      </c>
      <c r="BJ292" s="23">
        <f t="shared" si="269"/>
        <v>0</v>
      </c>
      <c r="BK292" s="23"/>
      <c r="BL292" s="23"/>
      <c r="BW292" s="23">
        <v>21</v>
      </c>
    </row>
    <row r="293" spans="1:75" ht="13.5" customHeight="1" x14ac:dyDescent="0.25">
      <c r="A293" s="2" t="s">
        <v>870</v>
      </c>
      <c r="B293" s="3" t="s">
        <v>871</v>
      </c>
      <c r="C293" s="80" t="s">
        <v>872</v>
      </c>
      <c r="D293" s="75"/>
      <c r="E293" s="3" t="s">
        <v>358</v>
      </c>
      <c r="F293" s="23">
        <v>1</v>
      </c>
      <c r="G293" s="23">
        <v>0</v>
      </c>
      <c r="H293" s="23">
        <f t="shared" si="246"/>
        <v>0</v>
      </c>
      <c r="I293" s="23">
        <f t="shared" si="247"/>
        <v>0</v>
      </c>
      <c r="J293" s="23">
        <f t="shared" si="248"/>
        <v>0</v>
      </c>
      <c r="K293" s="23">
        <v>0</v>
      </c>
      <c r="L293" s="24">
        <v>0</v>
      </c>
      <c r="Z293" s="23">
        <f t="shared" si="249"/>
        <v>0</v>
      </c>
      <c r="AB293" s="23">
        <f t="shared" si="250"/>
        <v>0</v>
      </c>
      <c r="AC293" s="23">
        <f t="shared" si="251"/>
        <v>0</v>
      </c>
      <c r="AD293" s="23">
        <f t="shared" si="252"/>
        <v>0</v>
      </c>
      <c r="AE293" s="23">
        <f t="shared" si="253"/>
        <v>0</v>
      </c>
      <c r="AF293" s="23">
        <f t="shared" si="254"/>
        <v>0</v>
      </c>
      <c r="AG293" s="23">
        <f t="shared" si="255"/>
        <v>0</v>
      </c>
      <c r="AH293" s="23">
        <f t="shared" si="256"/>
        <v>0</v>
      </c>
      <c r="AI293" s="8" t="s">
        <v>53</v>
      </c>
      <c r="AJ293" s="23">
        <f t="shared" si="257"/>
        <v>0</v>
      </c>
      <c r="AK293" s="23">
        <f t="shared" si="258"/>
        <v>0</v>
      </c>
      <c r="AL293" s="23">
        <f t="shared" si="259"/>
        <v>0</v>
      </c>
      <c r="AN293" s="23">
        <v>21</v>
      </c>
      <c r="AO293" s="23">
        <f t="shared" si="260"/>
        <v>0</v>
      </c>
      <c r="AP293" s="23">
        <f t="shared" si="261"/>
        <v>0</v>
      </c>
      <c r="AQ293" s="25" t="s">
        <v>65</v>
      </c>
      <c r="AV293" s="23">
        <f t="shared" si="262"/>
        <v>0</v>
      </c>
      <c r="AW293" s="23">
        <f t="shared" si="263"/>
        <v>0</v>
      </c>
      <c r="AX293" s="23">
        <f t="shared" si="264"/>
        <v>0</v>
      </c>
      <c r="AY293" s="25" t="s">
        <v>866</v>
      </c>
      <c r="AZ293" s="25" t="s">
        <v>565</v>
      </c>
      <c r="BA293" s="8" t="s">
        <v>62</v>
      </c>
      <c r="BC293" s="23">
        <f t="shared" si="265"/>
        <v>0</v>
      </c>
      <c r="BD293" s="23">
        <f t="shared" si="266"/>
        <v>0</v>
      </c>
      <c r="BE293" s="23">
        <v>0</v>
      </c>
      <c r="BF293" s="23">
        <f>293</f>
        <v>293</v>
      </c>
      <c r="BH293" s="23">
        <f t="shared" si="267"/>
        <v>0</v>
      </c>
      <c r="BI293" s="23">
        <f t="shared" si="268"/>
        <v>0</v>
      </c>
      <c r="BJ293" s="23">
        <f t="shared" si="269"/>
        <v>0</v>
      </c>
      <c r="BK293" s="23"/>
      <c r="BL293" s="23"/>
      <c r="BW293" s="23">
        <v>21</v>
      </c>
    </row>
    <row r="294" spans="1:75" ht="13.5" customHeight="1" x14ac:dyDescent="0.25">
      <c r="A294" s="2" t="s">
        <v>873</v>
      </c>
      <c r="B294" s="3" t="s">
        <v>874</v>
      </c>
      <c r="C294" s="80" t="s">
        <v>875</v>
      </c>
      <c r="D294" s="75"/>
      <c r="E294" s="3" t="s">
        <v>358</v>
      </c>
      <c r="F294" s="23">
        <v>1</v>
      </c>
      <c r="G294" s="23">
        <v>0</v>
      </c>
      <c r="H294" s="23">
        <f t="shared" si="246"/>
        <v>0</v>
      </c>
      <c r="I294" s="23">
        <f t="shared" si="247"/>
        <v>0</v>
      </c>
      <c r="J294" s="23">
        <f t="shared" si="248"/>
        <v>0</v>
      </c>
      <c r="K294" s="23">
        <v>0</v>
      </c>
      <c r="L294" s="24">
        <v>0</v>
      </c>
      <c r="Z294" s="23">
        <f t="shared" si="249"/>
        <v>0</v>
      </c>
      <c r="AB294" s="23">
        <f t="shared" si="250"/>
        <v>0</v>
      </c>
      <c r="AC294" s="23">
        <f t="shared" si="251"/>
        <v>0</v>
      </c>
      <c r="AD294" s="23">
        <f t="shared" si="252"/>
        <v>0</v>
      </c>
      <c r="AE294" s="23">
        <f t="shared" si="253"/>
        <v>0</v>
      </c>
      <c r="AF294" s="23">
        <f t="shared" si="254"/>
        <v>0</v>
      </c>
      <c r="AG294" s="23">
        <f t="shared" si="255"/>
        <v>0</v>
      </c>
      <c r="AH294" s="23">
        <f t="shared" si="256"/>
        <v>0</v>
      </c>
      <c r="AI294" s="8" t="s">
        <v>53</v>
      </c>
      <c r="AJ294" s="23">
        <f t="shared" si="257"/>
        <v>0</v>
      </c>
      <c r="AK294" s="23">
        <f t="shared" si="258"/>
        <v>0</v>
      </c>
      <c r="AL294" s="23">
        <f t="shared" si="259"/>
        <v>0</v>
      </c>
      <c r="AN294" s="23">
        <v>21</v>
      </c>
      <c r="AO294" s="23">
        <f t="shared" si="260"/>
        <v>0</v>
      </c>
      <c r="AP294" s="23">
        <f t="shared" si="261"/>
        <v>0</v>
      </c>
      <c r="AQ294" s="25" t="s">
        <v>65</v>
      </c>
      <c r="AV294" s="23">
        <f t="shared" si="262"/>
        <v>0</v>
      </c>
      <c r="AW294" s="23">
        <f t="shared" si="263"/>
        <v>0</v>
      </c>
      <c r="AX294" s="23">
        <f t="shared" si="264"/>
        <v>0</v>
      </c>
      <c r="AY294" s="25" t="s">
        <v>866</v>
      </c>
      <c r="AZ294" s="25" t="s">
        <v>565</v>
      </c>
      <c r="BA294" s="8" t="s">
        <v>62</v>
      </c>
      <c r="BC294" s="23">
        <f t="shared" si="265"/>
        <v>0</v>
      </c>
      <c r="BD294" s="23">
        <f t="shared" si="266"/>
        <v>0</v>
      </c>
      <c r="BE294" s="23">
        <v>0</v>
      </c>
      <c r="BF294" s="23">
        <f>294</f>
        <v>294</v>
      </c>
      <c r="BH294" s="23">
        <f t="shared" si="267"/>
        <v>0</v>
      </c>
      <c r="BI294" s="23">
        <f t="shared" si="268"/>
        <v>0</v>
      </c>
      <c r="BJ294" s="23">
        <f t="shared" si="269"/>
        <v>0</v>
      </c>
      <c r="BK294" s="23"/>
      <c r="BL294" s="23"/>
      <c r="BW294" s="23">
        <v>21</v>
      </c>
    </row>
    <row r="295" spans="1:75" ht="13.5" customHeight="1" x14ac:dyDescent="0.25">
      <c r="A295" s="2" t="s">
        <v>876</v>
      </c>
      <c r="B295" s="3" t="s">
        <v>877</v>
      </c>
      <c r="C295" s="80" t="s">
        <v>878</v>
      </c>
      <c r="D295" s="75"/>
      <c r="E295" s="3" t="s">
        <v>358</v>
      </c>
      <c r="F295" s="23">
        <v>1</v>
      </c>
      <c r="G295" s="23">
        <v>0</v>
      </c>
      <c r="H295" s="23">
        <f t="shared" si="246"/>
        <v>0</v>
      </c>
      <c r="I295" s="23">
        <f t="shared" si="247"/>
        <v>0</v>
      </c>
      <c r="J295" s="23">
        <f t="shared" si="248"/>
        <v>0</v>
      </c>
      <c r="K295" s="23">
        <v>0</v>
      </c>
      <c r="L295" s="24">
        <v>0</v>
      </c>
      <c r="Z295" s="23">
        <f t="shared" si="249"/>
        <v>0</v>
      </c>
      <c r="AB295" s="23">
        <f t="shared" si="250"/>
        <v>0</v>
      </c>
      <c r="AC295" s="23">
        <f t="shared" si="251"/>
        <v>0</v>
      </c>
      <c r="AD295" s="23">
        <f t="shared" si="252"/>
        <v>0</v>
      </c>
      <c r="AE295" s="23">
        <f t="shared" si="253"/>
        <v>0</v>
      </c>
      <c r="AF295" s="23">
        <f t="shared" si="254"/>
        <v>0</v>
      </c>
      <c r="AG295" s="23">
        <f t="shared" si="255"/>
        <v>0</v>
      </c>
      <c r="AH295" s="23">
        <f t="shared" si="256"/>
        <v>0</v>
      </c>
      <c r="AI295" s="8" t="s">
        <v>53</v>
      </c>
      <c r="AJ295" s="23">
        <f t="shared" si="257"/>
        <v>0</v>
      </c>
      <c r="AK295" s="23">
        <f t="shared" si="258"/>
        <v>0</v>
      </c>
      <c r="AL295" s="23">
        <f t="shared" si="259"/>
        <v>0</v>
      </c>
      <c r="AN295" s="23">
        <v>21</v>
      </c>
      <c r="AO295" s="23">
        <f t="shared" si="260"/>
        <v>0</v>
      </c>
      <c r="AP295" s="23">
        <f t="shared" si="261"/>
        <v>0</v>
      </c>
      <c r="AQ295" s="25" t="s">
        <v>65</v>
      </c>
      <c r="AV295" s="23">
        <f t="shared" si="262"/>
        <v>0</v>
      </c>
      <c r="AW295" s="23">
        <f t="shared" si="263"/>
        <v>0</v>
      </c>
      <c r="AX295" s="23">
        <f t="shared" si="264"/>
        <v>0</v>
      </c>
      <c r="AY295" s="25" t="s">
        <v>866</v>
      </c>
      <c r="AZ295" s="25" t="s">
        <v>565</v>
      </c>
      <c r="BA295" s="8" t="s">
        <v>62</v>
      </c>
      <c r="BC295" s="23">
        <f t="shared" si="265"/>
        <v>0</v>
      </c>
      <c r="BD295" s="23">
        <f t="shared" si="266"/>
        <v>0</v>
      </c>
      <c r="BE295" s="23">
        <v>0</v>
      </c>
      <c r="BF295" s="23">
        <f>295</f>
        <v>295</v>
      </c>
      <c r="BH295" s="23">
        <f t="shared" si="267"/>
        <v>0</v>
      </c>
      <c r="BI295" s="23">
        <f t="shared" si="268"/>
        <v>0</v>
      </c>
      <c r="BJ295" s="23">
        <f t="shared" si="269"/>
        <v>0</v>
      </c>
      <c r="BK295" s="23"/>
      <c r="BL295" s="23"/>
      <c r="BW295" s="23">
        <v>21</v>
      </c>
    </row>
    <row r="296" spans="1:75" ht="13.5" customHeight="1" x14ac:dyDescent="0.25">
      <c r="A296" s="2" t="s">
        <v>879</v>
      </c>
      <c r="B296" s="3" t="s">
        <v>880</v>
      </c>
      <c r="C296" s="80" t="s">
        <v>881</v>
      </c>
      <c r="D296" s="75"/>
      <c r="E296" s="3" t="s">
        <v>358</v>
      </c>
      <c r="F296" s="23">
        <v>1</v>
      </c>
      <c r="G296" s="23">
        <v>0</v>
      </c>
      <c r="H296" s="23">
        <f t="shared" si="246"/>
        <v>0</v>
      </c>
      <c r="I296" s="23">
        <f t="shared" si="247"/>
        <v>0</v>
      </c>
      <c r="J296" s="23">
        <f t="shared" si="248"/>
        <v>0</v>
      </c>
      <c r="K296" s="23">
        <v>0</v>
      </c>
      <c r="L296" s="24">
        <v>0</v>
      </c>
      <c r="Z296" s="23">
        <f t="shared" si="249"/>
        <v>0</v>
      </c>
      <c r="AB296" s="23">
        <f t="shared" si="250"/>
        <v>0</v>
      </c>
      <c r="AC296" s="23">
        <f t="shared" si="251"/>
        <v>0</v>
      </c>
      <c r="AD296" s="23">
        <f t="shared" si="252"/>
        <v>0</v>
      </c>
      <c r="AE296" s="23">
        <f t="shared" si="253"/>
        <v>0</v>
      </c>
      <c r="AF296" s="23">
        <f t="shared" si="254"/>
        <v>0</v>
      </c>
      <c r="AG296" s="23">
        <f t="shared" si="255"/>
        <v>0</v>
      </c>
      <c r="AH296" s="23">
        <f t="shared" si="256"/>
        <v>0</v>
      </c>
      <c r="AI296" s="8" t="s">
        <v>53</v>
      </c>
      <c r="AJ296" s="23">
        <f t="shared" si="257"/>
        <v>0</v>
      </c>
      <c r="AK296" s="23">
        <f t="shared" si="258"/>
        <v>0</v>
      </c>
      <c r="AL296" s="23">
        <f t="shared" si="259"/>
        <v>0</v>
      </c>
      <c r="AN296" s="23">
        <v>21</v>
      </c>
      <c r="AO296" s="23">
        <f t="shared" si="260"/>
        <v>0</v>
      </c>
      <c r="AP296" s="23">
        <f t="shared" si="261"/>
        <v>0</v>
      </c>
      <c r="AQ296" s="25" t="s">
        <v>65</v>
      </c>
      <c r="AV296" s="23">
        <f t="shared" si="262"/>
        <v>0</v>
      </c>
      <c r="AW296" s="23">
        <f t="shared" si="263"/>
        <v>0</v>
      </c>
      <c r="AX296" s="23">
        <f t="shared" si="264"/>
        <v>0</v>
      </c>
      <c r="AY296" s="25" t="s">
        <v>866</v>
      </c>
      <c r="AZ296" s="25" t="s">
        <v>565</v>
      </c>
      <c r="BA296" s="8" t="s">
        <v>62</v>
      </c>
      <c r="BC296" s="23">
        <f t="shared" si="265"/>
        <v>0</v>
      </c>
      <c r="BD296" s="23">
        <f t="shared" si="266"/>
        <v>0</v>
      </c>
      <c r="BE296" s="23">
        <v>0</v>
      </c>
      <c r="BF296" s="23">
        <f>296</f>
        <v>296</v>
      </c>
      <c r="BH296" s="23">
        <f t="shared" si="267"/>
        <v>0</v>
      </c>
      <c r="BI296" s="23">
        <f t="shared" si="268"/>
        <v>0</v>
      </c>
      <c r="BJ296" s="23">
        <f t="shared" si="269"/>
        <v>0</v>
      </c>
      <c r="BK296" s="23"/>
      <c r="BL296" s="23"/>
      <c r="BW296" s="23">
        <v>21</v>
      </c>
    </row>
    <row r="297" spans="1:75" ht="13.5" customHeight="1" x14ac:dyDescent="0.25">
      <c r="A297" s="2" t="s">
        <v>882</v>
      </c>
      <c r="B297" s="3" t="s">
        <v>883</v>
      </c>
      <c r="C297" s="80" t="s">
        <v>884</v>
      </c>
      <c r="D297" s="75"/>
      <c r="E297" s="3" t="s">
        <v>358</v>
      </c>
      <c r="F297" s="23">
        <v>2</v>
      </c>
      <c r="G297" s="23">
        <v>0</v>
      </c>
      <c r="H297" s="23">
        <f t="shared" si="246"/>
        <v>0</v>
      </c>
      <c r="I297" s="23">
        <f t="shared" si="247"/>
        <v>0</v>
      </c>
      <c r="J297" s="23">
        <f t="shared" si="248"/>
        <v>0</v>
      </c>
      <c r="K297" s="23">
        <v>0</v>
      </c>
      <c r="L297" s="24">
        <v>0</v>
      </c>
      <c r="Z297" s="23">
        <f t="shared" si="249"/>
        <v>0</v>
      </c>
      <c r="AB297" s="23">
        <f t="shared" si="250"/>
        <v>0</v>
      </c>
      <c r="AC297" s="23">
        <f t="shared" si="251"/>
        <v>0</v>
      </c>
      <c r="AD297" s="23">
        <f t="shared" si="252"/>
        <v>0</v>
      </c>
      <c r="AE297" s="23">
        <f t="shared" si="253"/>
        <v>0</v>
      </c>
      <c r="AF297" s="23">
        <f t="shared" si="254"/>
        <v>0</v>
      </c>
      <c r="AG297" s="23">
        <f t="shared" si="255"/>
        <v>0</v>
      </c>
      <c r="AH297" s="23">
        <f t="shared" si="256"/>
        <v>0</v>
      </c>
      <c r="AI297" s="8" t="s">
        <v>53</v>
      </c>
      <c r="AJ297" s="23">
        <f t="shared" si="257"/>
        <v>0</v>
      </c>
      <c r="AK297" s="23">
        <f t="shared" si="258"/>
        <v>0</v>
      </c>
      <c r="AL297" s="23">
        <f t="shared" si="259"/>
        <v>0</v>
      </c>
      <c r="AN297" s="23">
        <v>21</v>
      </c>
      <c r="AO297" s="23">
        <f t="shared" si="260"/>
        <v>0</v>
      </c>
      <c r="AP297" s="23">
        <f t="shared" si="261"/>
        <v>0</v>
      </c>
      <c r="AQ297" s="25" t="s">
        <v>65</v>
      </c>
      <c r="AV297" s="23">
        <f t="shared" si="262"/>
        <v>0</v>
      </c>
      <c r="AW297" s="23">
        <f t="shared" si="263"/>
        <v>0</v>
      </c>
      <c r="AX297" s="23">
        <f t="shared" si="264"/>
        <v>0</v>
      </c>
      <c r="AY297" s="25" t="s">
        <v>866</v>
      </c>
      <c r="AZ297" s="25" t="s">
        <v>565</v>
      </c>
      <c r="BA297" s="8" t="s">
        <v>62</v>
      </c>
      <c r="BC297" s="23">
        <f t="shared" si="265"/>
        <v>0</v>
      </c>
      <c r="BD297" s="23">
        <f t="shared" si="266"/>
        <v>0</v>
      </c>
      <c r="BE297" s="23">
        <v>0</v>
      </c>
      <c r="BF297" s="23">
        <f>297</f>
        <v>297</v>
      </c>
      <c r="BH297" s="23">
        <f t="shared" si="267"/>
        <v>0</v>
      </c>
      <c r="BI297" s="23">
        <f t="shared" si="268"/>
        <v>0</v>
      </c>
      <c r="BJ297" s="23">
        <f t="shared" si="269"/>
        <v>0</v>
      </c>
      <c r="BK297" s="23"/>
      <c r="BL297" s="23"/>
      <c r="BW297" s="23">
        <v>21</v>
      </c>
    </row>
    <row r="298" spans="1:75" ht="13.5" customHeight="1" x14ac:dyDescent="0.25">
      <c r="A298" s="2" t="s">
        <v>885</v>
      </c>
      <c r="B298" s="3" t="s">
        <v>886</v>
      </c>
      <c r="C298" s="80" t="s">
        <v>887</v>
      </c>
      <c r="D298" s="75"/>
      <c r="E298" s="3" t="s">
        <v>358</v>
      </c>
      <c r="F298" s="23">
        <v>1</v>
      </c>
      <c r="G298" s="23">
        <v>0</v>
      </c>
      <c r="H298" s="23">
        <f t="shared" si="246"/>
        <v>0</v>
      </c>
      <c r="I298" s="23">
        <f t="shared" si="247"/>
        <v>0</v>
      </c>
      <c r="J298" s="23">
        <f t="shared" si="248"/>
        <v>0</v>
      </c>
      <c r="K298" s="23">
        <v>0</v>
      </c>
      <c r="L298" s="24">
        <v>0</v>
      </c>
      <c r="Z298" s="23">
        <f t="shared" si="249"/>
        <v>0</v>
      </c>
      <c r="AB298" s="23">
        <f t="shared" si="250"/>
        <v>0</v>
      </c>
      <c r="AC298" s="23">
        <f t="shared" si="251"/>
        <v>0</v>
      </c>
      <c r="AD298" s="23">
        <f t="shared" si="252"/>
        <v>0</v>
      </c>
      <c r="AE298" s="23">
        <f t="shared" si="253"/>
        <v>0</v>
      </c>
      <c r="AF298" s="23">
        <f t="shared" si="254"/>
        <v>0</v>
      </c>
      <c r="AG298" s="23">
        <f t="shared" si="255"/>
        <v>0</v>
      </c>
      <c r="AH298" s="23">
        <f t="shared" si="256"/>
        <v>0</v>
      </c>
      <c r="AI298" s="8" t="s">
        <v>53</v>
      </c>
      <c r="AJ298" s="23">
        <f t="shared" si="257"/>
        <v>0</v>
      </c>
      <c r="AK298" s="23">
        <f t="shared" si="258"/>
        <v>0</v>
      </c>
      <c r="AL298" s="23">
        <f t="shared" si="259"/>
        <v>0</v>
      </c>
      <c r="AN298" s="23">
        <v>21</v>
      </c>
      <c r="AO298" s="23">
        <f t="shared" si="260"/>
        <v>0</v>
      </c>
      <c r="AP298" s="23">
        <f t="shared" si="261"/>
        <v>0</v>
      </c>
      <c r="AQ298" s="25" t="s">
        <v>65</v>
      </c>
      <c r="AV298" s="23">
        <f t="shared" si="262"/>
        <v>0</v>
      </c>
      <c r="AW298" s="23">
        <f t="shared" si="263"/>
        <v>0</v>
      </c>
      <c r="AX298" s="23">
        <f t="shared" si="264"/>
        <v>0</v>
      </c>
      <c r="AY298" s="25" t="s">
        <v>866</v>
      </c>
      <c r="AZ298" s="25" t="s">
        <v>565</v>
      </c>
      <c r="BA298" s="8" t="s">
        <v>62</v>
      </c>
      <c r="BC298" s="23">
        <f t="shared" si="265"/>
        <v>0</v>
      </c>
      <c r="BD298" s="23">
        <f t="shared" si="266"/>
        <v>0</v>
      </c>
      <c r="BE298" s="23">
        <v>0</v>
      </c>
      <c r="BF298" s="23">
        <f>298</f>
        <v>298</v>
      </c>
      <c r="BH298" s="23">
        <f t="shared" si="267"/>
        <v>0</v>
      </c>
      <c r="BI298" s="23">
        <f t="shared" si="268"/>
        <v>0</v>
      </c>
      <c r="BJ298" s="23">
        <f t="shared" si="269"/>
        <v>0</v>
      </c>
      <c r="BK298" s="23"/>
      <c r="BL298" s="23"/>
      <c r="BW298" s="23">
        <v>21</v>
      </c>
    </row>
    <row r="299" spans="1:75" x14ac:dyDescent="0.25">
      <c r="A299" s="26" t="s">
        <v>53</v>
      </c>
      <c r="B299" s="27" t="s">
        <v>888</v>
      </c>
      <c r="C299" s="98" t="s">
        <v>889</v>
      </c>
      <c r="D299" s="99"/>
      <c r="E299" s="28" t="s">
        <v>10</v>
      </c>
      <c r="F299" s="28" t="s">
        <v>10</v>
      </c>
      <c r="G299" s="28" t="s">
        <v>10</v>
      </c>
      <c r="H299" s="1">
        <f>SUM(H300:H301)</f>
        <v>0</v>
      </c>
      <c r="I299" s="1">
        <f>SUM(I300:I301)</f>
        <v>0</v>
      </c>
      <c r="J299" s="1">
        <f>SUM(J300:J301)</f>
        <v>0</v>
      </c>
      <c r="K299" s="8" t="s">
        <v>53</v>
      </c>
      <c r="L299" s="29" t="s">
        <v>53</v>
      </c>
      <c r="AI299" s="8" t="s">
        <v>53</v>
      </c>
      <c r="AS299" s="1">
        <f>SUM(AJ300:AJ301)</f>
        <v>0</v>
      </c>
      <c r="AT299" s="1">
        <f>SUM(AK300:AK301)</f>
        <v>0</v>
      </c>
      <c r="AU299" s="1">
        <f>SUM(AL300:AL301)</f>
        <v>0</v>
      </c>
    </row>
    <row r="300" spans="1:75" ht="13.5" customHeight="1" x14ac:dyDescent="0.25">
      <c r="A300" s="2" t="s">
        <v>890</v>
      </c>
      <c r="B300" s="3" t="s">
        <v>891</v>
      </c>
      <c r="C300" s="80" t="s">
        <v>892</v>
      </c>
      <c r="D300" s="75"/>
      <c r="E300" s="3" t="s">
        <v>627</v>
      </c>
      <c r="F300" s="23">
        <v>1</v>
      </c>
      <c r="G300" s="23">
        <v>0</v>
      </c>
      <c r="H300" s="23">
        <f>F300*AO300</f>
        <v>0</v>
      </c>
      <c r="I300" s="23">
        <f>F300*AP300</f>
        <v>0</v>
      </c>
      <c r="J300" s="23">
        <f>F300*G300</f>
        <v>0</v>
      </c>
      <c r="K300" s="23">
        <v>0</v>
      </c>
      <c r="L300" s="24">
        <v>0</v>
      </c>
      <c r="Z300" s="23">
        <f>IF(AQ300="5",BJ300,0)</f>
        <v>0</v>
      </c>
      <c r="AB300" s="23">
        <f>IF(AQ300="1",BH300,0)</f>
        <v>0</v>
      </c>
      <c r="AC300" s="23">
        <f>IF(AQ300="1",BI300,0)</f>
        <v>0</v>
      </c>
      <c r="AD300" s="23">
        <f>IF(AQ300="7",BH300,0)</f>
        <v>0</v>
      </c>
      <c r="AE300" s="23">
        <f>IF(AQ300="7",BI300,0)</f>
        <v>0</v>
      </c>
      <c r="AF300" s="23">
        <f>IF(AQ300="2",BH300,0)</f>
        <v>0</v>
      </c>
      <c r="AG300" s="23">
        <f>IF(AQ300="2",BI300,0)</f>
        <v>0</v>
      </c>
      <c r="AH300" s="23">
        <f>IF(AQ300="0",BJ300,0)</f>
        <v>0</v>
      </c>
      <c r="AI300" s="8" t="s">
        <v>53</v>
      </c>
      <c r="AJ300" s="23">
        <f>IF(AN300=0,J300,0)</f>
        <v>0</v>
      </c>
      <c r="AK300" s="23">
        <f>IF(AN300=12,J300,0)</f>
        <v>0</v>
      </c>
      <c r="AL300" s="23">
        <f>IF(AN300=21,J300,0)</f>
        <v>0</v>
      </c>
      <c r="AN300" s="23">
        <v>21</v>
      </c>
      <c r="AO300" s="23">
        <f>G300*0</f>
        <v>0</v>
      </c>
      <c r="AP300" s="23">
        <f>G300*(1-0)</f>
        <v>0</v>
      </c>
      <c r="AQ300" s="25" t="s">
        <v>80</v>
      </c>
      <c r="AV300" s="23">
        <f>AW300+AX300</f>
        <v>0</v>
      </c>
      <c r="AW300" s="23">
        <f>F300*AO300</f>
        <v>0</v>
      </c>
      <c r="AX300" s="23">
        <f>F300*AP300</f>
        <v>0</v>
      </c>
      <c r="AY300" s="25" t="s">
        <v>893</v>
      </c>
      <c r="AZ300" s="25" t="s">
        <v>565</v>
      </c>
      <c r="BA300" s="8" t="s">
        <v>62</v>
      </c>
      <c r="BC300" s="23">
        <f>AW300+AX300</f>
        <v>0</v>
      </c>
      <c r="BD300" s="23">
        <f>G300/(100-BE300)*100</f>
        <v>0</v>
      </c>
      <c r="BE300" s="23">
        <v>0</v>
      </c>
      <c r="BF300" s="23">
        <f>300</f>
        <v>300</v>
      </c>
      <c r="BH300" s="23">
        <f>F300*AO300</f>
        <v>0</v>
      </c>
      <c r="BI300" s="23">
        <f>F300*AP300</f>
        <v>0</v>
      </c>
      <c r="BJ300" s="23">
        <f>F300*G300</f>
        <v>0</v>
      </c>
      <c r="BK300" s="23"/>
      <c r="BL300" s="23"/>
      <c r="BW300" s="23">
        <v>21</v>
      </c>
    </row>
    <row r="301" spans="1:75" ht="13.5" customHeight="1" x14ac:dyDescent="0.25">
      <c r="A301" s="34" t="s">
        <v>894</v>
      </c>
      <c r="B301" s="35" t="s">
        <v>895</v>
      </c>
      <c r="C301" s="100" t="s">
        <v>896</v>
      </c>
      <c r="D301" s="101"/>
      <c r="E301" s="35" t="s">
        <v>627</v>
      </c>
      <c r="F301" s="36">
        <v>3</v>
      </c>
      <c r="G301" s="36">
        <v>0</v>
      </c>
      <c r="H301" s="36">
        <f>F301*AO301</f>
        <v>0</v>
      </c>
      <c r="I301" s="36">
        <f>F301*AP301</f>
        <v>0</v>
      </c>
      <c r="J301" s="36">
        <f>F301*G301</f>
        <v>0</v>
      </c>
      <c r="K301" s="36">
        <v>0</v>
      </c>
      <c r="L301" s="37">
        <v>0</v>
      </c>
      <c r="Z301" s="23">
        <f>IF(AQ301="5",BJ301,0)</f>
        <v>0</v>
      </c>
      <c r="AB301" s="23">
        <f>IF(AQ301="1",BH301,0)</f>
        <v>0</v>
      </c>
      <c r="AC301" s="23">
        <f>IF(AQ301="1",BI301,0)</f>
        <v>0</v>
      </c>
      <c r="AD301" s="23">
        <f>IF(AQ301="7",BH301,0)</f>
        <v>0</v>
      </c>
      <c r="AE301" s="23">
        <f>IF(AQ301="7",BI301,0)</f>
        <v>0</v>
      </c>
      <c r="AF301" s="23">
        <f>IF(AQ301="2",BH301,0)</f>
        <v>0</v>
      </c>
      <c r="AG301" s="23">
        <f>IF(AQ301="2",BI301,0)</f>
        <v>0</v>
      </c>
      <c r="AH301" s="23">
        <f>IF(AQ301="0",BJ301,0)</f>
        <v>0</v>
      </c>
      <c r="AI301" s="8" t="s">
        <v>53</v>
      </c>
      <c r="AJ301" s="23">
        <f>IF(AN301=0,J301,0)</f>
        <v>0</v>
      </c>
      <c r="AK301" s="23">
        <f>IF(AN301=12,J301,0)</f>
        <v>0</v>
      </c>
      <c r="AL301" s="23">
        <f>IF(AN301=21,J301,0)</f>
        <v>0</v>
      </c>
      <c r="AN301" s="23">
        <v>21</v>
      </c>
      <c r="AO301" s="23">
        <f>G301*0</f>
        <v>0</v>
      </c>
      <c r="AP301" s="23">
        <f>G301*(1-0)</f>
        <v>0</v>
      </c>
      <c r="AQ301" s="25" t="s">
        <v>80</v>
      </c>
      <c r="AV301" s="23">
        <f>AW301+AX301</f>
        <v>0</v>
      </c>
      <c r="AW301" s="23">
        <f>F301*AO301</f>
        <v>0</v>
      </c>
      <c r="AX301" s="23">
        <f>F301*AP301</f>
        <v>0</v>
      </c>
      <c r="AY301" s="25" t="s">
        <v>893</v>
      </c>
      <c r="AZ301" s="25" t="s">
        <v>565</v>
      </c>
      <c r="BA301" s="8" t="s">
        <v>62</v>
      </c>
      <c r="BC301" s="23">
        <f>AW301+AX301</f>
        <v>0</v>
      </c>
      <c r="BD301" s="23">
        <f>G301/(100-BE301)*100</f>
        <v>0</v>
      </c>
      <c r="BE301" s="23">
        <v>0</v>
      </c>
      <c r="BF301" s="23">
        <f>301</f>
        <v>301</v>
      </c>
      <c r="BH301" s="23">
        <f>F301*AO301</f>
        <v>0</v>
      </c>
      <c r="BI301" s="23">
        <f>F301*AP301</f>
        <v>0</v>
      </c>
      <c r="BJ301" s="23">
        <f>F301*G301</f>
        <v>0</v>
      </c>
      <c r="BK301" s="23"/>
      <c r="BL301" s="23"/>
      <c r="BW301" s="23">
        <v>21</v>
      </c>
    </row>
    <row r="302" spans="1:75" x14ac:dyDescent="0.25">
      <c r="H302" s="102" t="s">
        <v>897</v>
      </c>
      <c r="I302" s="102"/>
      <c r="J302" s="38">
        <f>ROUND(J12+J14+J17+J20+J23+J31+J36+J64+J87+J95+J116+J125+J168+J172+J175+J181+J185+J202+J206+J209+J212+J215+J218+J221+J224+J227+J230+J233+J236+J240+J245+J290+J299,0)</f>
        <v>0</v>
      </c>
    </row>
    <row r="303" spans="1:75" x14ac:dyDescent="0.25">
      <c r="A303" s="39" t="s">
        <v>898</v>
      </c>
    </row>
    <row r="304" spans="1:75" ht="12.75" customHeight="1" x14ac:dyDescent="0.25">
      <c r="A304" s="80" t="s">
        <v>53</v>
      </c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</row>
  </sheetData>
  <mergeCells count="311">
    <mergeCell ref="C299:D299"/>
    <mergeCell ref="C300:D300"/>
    <mergeCell ref="C301:D301"/>
    <mergeCell ref="H302:I302"/>
    <mergeCell ref="A304:L304"/>
    <mergeCell ref="C294:D294"/>
    <mergeCell ref="C295:D295"/>
    <mergeCell ref="C296:D296"/>
    <mergeCell ref="C297:D297"/>
    <mergeCell ref="C298:D298"/>
    <mergeCell ref="C289:D289"/>
    <mergeCell ref="C290:D290"/>
    <mergeCell ref="C291:D291"/>
    <mergeCell ref="C292:D292"/>
    <mergeCell ref="C293:D293"/>
    <mergeCell ref="C282:D282"/>
    <mergeCell ref="C284:D284"/>
    <mergeCell ref="C286:D286"/>
    <mergeCell ref="C287:D287"/>
    <mergeCell ref="C288:D288"/>
    <mergeCell ref="C277:D277"/>
    <mergeCell ref="C278:D278"/>
    <mergeCell ref="C279:D279"/>
    <mergeCell ref="C280:D280"/>
    <mergeCell ref="C281:D281"/>
    <mergeCell ref="C272:D272"/>
    <mergeCell ref="C273:D273"/>
    <mergeCell ref="C274:D274"/>
    <mergeCell ref="C275:D275"/>
    <mergeCell ref="C276:D276"/>
    <mergeCell ref="C267:D267"/>
    <mergeCell ref="C268:D268"/>
    <mergeCell ref="C269:D269"/>
    <mergeCell ref="C270:D270"/>
    <mergeCell ref="C271:D271"/>
    <mergeCell ref="C262:D262"/>
    <mergeCell ref="C263:D263"/>
    <mergeCell ref="C264:D264"/>
    <mergeCell ref="C265:D265"/>
    <mergeCell ref="C266:D266"/>
    <mergeCell ref="C257:D257"/>
    <mergeCell ref="C258:D258"/>
    <mergeCell ref="C259:D259"/>
    <mergeCell ref="C260:D260"/>
    <mergeCell ref="C261:D261"/>
    <mergeCell ref="C252:D252"/>
    <mergeCell ref="C253:D253"/>
    <mergeCell ref="C254:D254"/>
    <mergeCell ref="C255:D255"/>
    <mergeCell ref="C256:D256"/>
    <mergeCell ref="C247:D247"/>
    <mergeCell ref="C248:D248"/>
    <mergeCell ref="C249:D249"/>
    <mergeCell ref="C250:D250"/>
    <mergeCell ref="C251:D251"/>
    <mergeCell ref="C242:D242"/>
    <mergeCell ref="C243:D243"/>
    <mergeCell ref="C244:D244"/>
    <mergeCell ref="C245:D245"/>
    <mergeCell ref="C246:D246"/>
    <mergeCell ref="C237:D237"/>
    <mergeCell ref="C238:D238"/>
    <mergeCell ref="C239:D239"/>
    <mergeCell ref="C240:D240"/>
    <mergeCell ref="C241:D241"/>
    <mergeCell ref="C232:D232"/>
    <mergeCell ref="C233:D233"/>
    <mergeCell ref="C234:D234"/>
    <mergeCell ref="C235:D235"/>
    <mergeCell ref="C236:D236"/>
    <mergeCell ref="C227:D227"/>
    <mergeCell ref="C228:D228"/>
    <mergeCell ref="C229:D229"/>
    <mergeCell ref="C230:D230"/>
    <mergeCell ref="C231:D231"/>
    <mergeCell ref="C222:D222"/>
    <mergeCell ref="C223:D223"/>
    <mergeCell ref="C224:D224"/>
    <mergeCell ref="C225:D225"/>
    <mergeCell ref="C226:D226"/>
    <mergeCell ref="C217:D217"/>
    <mergeCell ref="C218:D218"/>
    <mergeCell ref="C219:D219"/>
    <mergeCell ref="C220:D220"/>
    <mergeCell ref="C221:D221"/>
    <mergeCell ref="C212:D212"/>
    <mergeCell ref="C213:D213"/>
    <mergeCell ref="C214:D214"/>
    <mergeCell ref="C215:D215"/>
    <mergeCell ref="C216:D216"/>
    <mergeCell ref="C207:D207"/>
    <mergeCell ref="C208:D208"/>
    <mergeCell ref="C209:D209"/>
    <mergeCell ref="C210:D210"/>
    <mergeCell ref="C211:D211"/>
    <mergeCell ref="C202:D202"/>
    <mergeCell ref="C203:D203"/>
    <mergeCell ref="C204:D204"/>
    <mergeCell ref="C205:D205"/>
    <mergeCell ref="C206:D206"/>
    <mergeCell ref="C197:D197"/>
    <mergeCell ref="C198:D198"/>
    <mergeCell ref="C199:D199"/>
    <mergeCell ref="C200:D200"/>
    <mergeCell ref="C201:D201"/>
    <mergeCell ref="C192:D192"/>
    <mergeCell ref="C193:D193"/>
    <mergeCell ref="C194:D194"/>
    <mergeCell ref="C195:D195"/>
    <mergeCell ref="C196:D196"/>
    <mergeCell ref="C187:D187"/>
    <mergeCell ref="C188:D188"/>
    <mergeCell ref="C189:D189"/>
    <mergeCell ref="C190:D190"/>
    <mergeCell ref="C191:D191"/>
    <mergeCell ref="C181:D181"/>
    <mergeCell ref="C182:D182"/>
    <mergeCell ref="C183:D183"/>
    <mergeCell ref="C185:D185"/>
    <mergeCell ref="C186:D186"/>
    <mergeCell ref="C176:D176"/>
    <mergeCell ref="C177:D177"/>
    <mergeCell ref="C178:D178"/>
    <mergeCell ref="C179:D179"/>
    <mergeCell ref="C180:D180"/>
    <mergeCell ref="C169:D169"/>
    <mergeCell ref="C170:D170"/>
    <mergeCell ref="C172:D172"/>
    <mergeCell ref="C173:D173"/>
    <mergeCell ref="C175:D175"/>
    <mergeCell ref="C164:D164"/>
    <mergeCell ref="C165:D165"/>
    <mergeCell ref="C166:D166"/>
    <mergeCell ref="C167:D167"/>
    <mergeCell ref="C168:D168"/>
    <mergeCell ref="C159:D159"/>
    <mergeCell ref="C160:D160"/>
    <mergeCell ref="C161:D161"/>
    <mergeCell ref="C162:D162"/>
    <mergeCell ref="C163:D163"/>
    <mergeCell ref="C154:D154"/>
    <mergeCell ref="C155:D155"/>
    <mergeCell ref="C156:D156"/>
    <mergeCell ref="C157:D157"/>
    <mergeCell ref="C158:D158"/>
    <mergeCell ref="C149:D149"/>
    <mergeCell ref="C150:D150"/>
    <mergeCell ref="C151:D151"/>
    <mergeCell ref="C152:D152"/>
    <mergeCell ref="C153:D153"/>
    <mergeCell ref="C144:D144"/>
    <mergeCell ref="C145:D145"/>
    <mergeCell ref="C146:D146"/>
    <mergeCell ref="C147:D147"/>
    <mergeCell ref="C148:D148"/>
    <mergeCell ref="C139:D139"/>
    <mergeCell ref="C140:D140"/>
    <mergeCell ref="C141:D141"/>
    <mergeCell ref="C142:D142"/>
    <mergeCell ref="C143:D143"/>
    <mergeCell ref="C134:D134"/>
    <mergeCell ref="C135:D135"/>
    <mergeCell ref="C136:D136"/>
    <mergeCell ref="C137:D137"/>
    <mergeCell ref="C138:D138"/>
    <mergeCell ref="C129:D129"/>
    <mergeCell ref="C130:D130"/>
    <mergeCell ref="C131:D131"/>
    <mergeCell ref="C132:D132"/>
    <mergeCell ref="C133:D133"/>
    <mergeCell ref="C124:D124"/>
    <mergeCell ref="C125:D125"/>
    <mergeCell ref="C126:D126"/>
    <mergeCell ref="C127:D127"/>
    <mergeCell ref="C128:D128"/>
    <mergeCell ref="C119:D119"/>
    <mergeCell ref="C120:D120"/>
    <mergeCell ref="C121:D121"/>
    <mergeCell ref="C122:D122"/>
    <mergeCell ref="C123:D123"/>
    <mergeCell ref="C113:D113"/>
    <mergeCell ref="C114:D114"/>
    <mergeCell ref="C116:D116"/>
    <mergeCell ref="C117:D117"/>
    <mergeCell ref="C118:D118"/>
    <mergeCell ref="C108:D108"/>
    <mergeCell ref="C109:D109"/>
    <mergeCell ref="C110:D110"/>
    <mergeCell ref="C111:D111"/>
    <mergeCell ref="C112:D112"/>
    <mergeCell ref="C102:D102"/>
    <mergeCell ref="C103:D103"/>
    <mergeCell ref="C104:D104"/>
    <mergeCell ref="C105:D105"/>
    <mergeCell ref="C107:D107"/>
    <mergeCell ref="C96:D96"/>
    <mergeCell ref="C97:D97"/>
    <mergeCell ref="C98:D98"/>
    <mergeCell ref="C100:D100"/>
    <mergeCell ref="C101:D101"/>
    <mergeCell ref="C91:D91"/>
    <mergeCell ref="C92:D92"/>
    <mergeCell ref="C93:D93"/>
    <mergeCell ref="C94:D94"/>
    <mergeCell ref="C95:D95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19:D19"/>
    <mergeCell ref="C20:D20"/>
    <mergeCell ref="C21:D21"/>
    <mergeCell ref="C23:D23"/>
    <mergeCell ref="C24:D24"/>
    <mergeCell ref="C14:D14"/>
    <mergeCell ref="C15:D15"/>
    <mergeCell ref="C16:D16"/>
    <mergeCell ref="C17:D17"/>
    <mergeCell ref="C18:D18"/>
    <mergeCell ref="C11:D11"/>
    <mergeCell ref="H10:J10"/>
    <mergeCell ref="K10:L10"/>
    <mergeCell ref="C12:D12"/>
    <mergeCell ref="C13:D13"/>
    <mergeCell ref="I2:L3"/>
    <mergeCell ref="I4:L5"/>
    <mergeCell ref="I6:L7"/>
    <mergeCell ref="I8:L9"/>
    <mergeCell ref="C10:D10"/>
    <mergeCell ref="C8:D9"/>
    <mergeCell ref="G2:G3"/>
    <mergeCell ref="G4:G5"/>
    <mergeCell ref="G6:G7"/>
    <mergeCell ref="G8:G9"/>
    <mergeCell ref="A1:L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3"/>
  <sheetViews>
    <sheetView workbookViewId="0">
      <selection activeCell="A303" sqref="A303:H303"/>
    </sheetView>
  </sheetViews>
  <sheetFormatPr defaultColWidth="12.140625" defaultRowHeight="15" customHeight="1" x14ac:dyDescent="0.25"/>
  <cols>
    <col min="1" max="2" width="17.85546875" customWidth="1"/>
    <col min="3" max="3" width="42.85546875" customWidth="1"/>
    <col min="4" max="4" width="83.42578125" customWidth="1"/>
    <col min="5" max="5" width="24.140625" customWidth="1"/>
    <col min="6" max="6" width="15.7109375" customWidth="1"/>
    <col min="7" max="7" width="20" customWidth="1"/>
  </cols>
  <sheetData>
    <row r="1" spans="1:7" ht="54.75" customHeight="1" x14ac:dyDescent="0.25">
      <c r="A1" s="71" t="s">
        <v>899</v>
      </c>
      <c r="B1" s="71"/>
      <c r="C1" s="71"/>
      <c r="D1" s="71"/>
      <c r="E1" s="71"/>
      <c r="F1" s="71"/>
      <c r="G1" s="71"/>
    </row>
    <row r="2" spans="1:7" x14ac:dyDescent="0.25">
      <c r="A2" s="72" t="s">
        <v>1</v>
      </c>
      <c r="B2" s="81" t="str">
        <f>'Stavební rozpočet'!C2</f>
        <v>Rekonstrukce plynové kotelny</v>
      </c>
      <c r="C2" s="82"/>
      <c r="D2" s="79" t="s">
        <v>5</v>
      </c>
      <c r="E2" s="79" t="str">
        <f>'Stavební rozpočet'!I2</f>
        <v>Město Bohumín, Masarykova158, 735 81 Bohumín</v>
      </c>
      <c r="F2" s="73"/>
      <c r="G2" s="93"/>
    </row>
    <row r="3" spans="1:7" ht="15" customHeight="1" x14ac:dyDescent="0.25">
      <c r="A3" s="74"/>
      <c r="B3" s="83"/>
      <c r="C3" s="83"/>
      <c r="D3" s="75"/>
      <c r="E3" s="75"/>
      <c r="F3" s="75"/>
      <c r="G3" s="94"/>
    </row>
    <row r="4" spans="1:7" x14ac:dyDescent="0.25">
      <c r="A4" s="76" t="s">
        <v>7</v>
      </c>
      <c r="B4" s="80" t="str">
        <f>'Stavební rozpočet'!C4</f>
        <v>Občanská vybavenost</v>
      </c>
      <c r="C4" s="75"/>
      <c r="D4" s="80" t="s">
        <v>11</v>
      </c>
      <c r="E4" s="80" t="str">
        <f>'Stavební rozpočet'!I4</f>
        <v>Ing Stanislav Wilczek</v>
      </c>
      <c r="F4" s="75"/>
      <c r="G4" s="94"/>
    </row>
    <row r="5" spans="1:7" ht="15" customHeight="1" x14ac:dyDescent="0.25">
      <c r="A5" s="74"/>
      <c r="B5" s="75"/>
      <c r="C5" s="75"/>
      <c r="D5" s="75"/>
      <c r="E5" s="75"/>
      <c r="F5" s="75"/>
      <c r="G5" s="94"/>
    </row>
    <row r="6" spans="1:7" x14ac:dyDescent="0.25">
      <c r="A6" s="76" t="s">
        <v>13</v>
      </c>
      <c r="B6" s="80" t="str">
        <f>'Stavební rozpočet'!C6</f>
        <v>1. Máje 217, Bohumín-Skřečoň</v>
      </c>
      <c r="C6" s="75"/>
      <c r="D6" s="80" t="s">
        <v>16</v>
      </c>
      <c r="E6" s="80" t="str">
        <f>'Stavební rozpočet'!I6</f>
        <v> </v>
      </c>
      <c r="F6" s="75"/>
      <c r="G6" s="94"/>
    </row>
    <row r="7" spans="1:7" ht="15" customHeight="1" x14ac:dyDescent="0.25">
      <c r="A7" s="74"/>
      <c r="B7" s="75"/>
      <c r="C7" s="75"/>
      <c r="D7" s="75"/>
      <c r="E7" s="75"/>
      <c r="F7" s="75"/>
      <c r="G7" s="94"/>
    </row>
    <row r="8" spans="1:7" x14ac:dyDescent="0.25">
      <c r="A8" s="76" t="s">
        <v>21</v>
      </c>
      <c r="B8" s="80" t="str">
        <f>'Stavební rozpočet'!I8</f>
        <v>Ing. Stanislav Wilczek</v>
      </c>
      <c r="C8" s="75"/>
      <c r="D8" s="80" t="s">
        <v>19</v>
      </c>
      <c r="E8" s="80" t="str">
        <f>'Stavební rozpočet'!G8</f>
        <v>02.12.2024</v>
      </c>
      <c r="F8" s="75"/>
      <c r="G8" s="94"/>
    </row>
    <row r="9" spans="1:7" x14ac:dyDescent="0.25">
      <c r="A9" s="77"/>
      <c r="B9" s="78"/>
      <c r="C9" s="78"/>
      <c r="D9" s="78"/>
      <c r="E9" s="78"/>
      <c r="F9" s="78"/>
      <c r="G9" s="95"/>
    </row>
    <row r="10" spans="1:7" x14ac:dyDescent="0.25">
      <c r="A10" s="40" t="s">
        <v>23</v>
      </c>
      <c r="B10" s="41" t="s">
        <v>24</v>
      </c>
      <c r="C10" s="103" t="s">
        <v>25</v>
      </c>
      <c r="D10" s="104"/>
      <c r="E10" s="41" t="s">
        <v>26</v>
      </c>
      <c r="F10" s="42" t="s">
        <v>27</v>
      </c>
      <c r="G10" s="43" t="s">
        <v>900</v>
      </c>
    </row>
    <row r="11" spans="1:7" x14ac:dyDescent="0.25">
      <c r="A11" s="44" t="s">
        <v>53</v>
      </c>
      <c r="B11" s="18" t="s">
        <v>54</v>
      </c>
      <c r="C11" s="92" t="s">
        <v>55</v>
      </c>
      <c r="D11" s="92"/>
      <c r="E11" s="18" t="s">
        <v>53</v>
      </c>
      <c r="F11" s="21" t="s">
        <v>53</v>
      </c>
      <c r="G11" s="22" t="s">
        <v>53</v>
      </c>
    </row>
    <row r="12" spans="1:7" x14ac:dyDescent="0.25">
      <c r="A12" s="2" t="s">
        <v>56</v>
      </c>
      <c r="B12" s="3" t="s">
        <v>57</v>
      </c>
      <c r="C12" s="75" t="s">
        <v>58</v>
      </c>
      <c r="D12" s="75"/>
      <c r="E12" s="3" t="s">
        <v>59</v>
      </c>
      <c r="F12" s="23">
        <v>32</v>
      </c>
      <c r="G12" s="24">
        <v>0</v>
      </c>
    </row>
    <row r="13" spans="1:7" x14ac:dyDescent="0.25">
      <c r="A13" s="45" t="s">
        <v>53</v>
      </c>
      <c r="B13" s="27" t="s">
        <v>63</v>
      </c>
      <c r="C13" s="99" t="s">
        <v>64</v>
      </c>
      <c r="D13" s="99"/>
      <c r="E13" s="27" t="s">
        <v>53</v>
      </c>
      <c r="F13" s="8" t="s">
        <v>53</v>
      </c>
      <c r="G13" s="29" t="s">
        <v>53</v>
      </c>
    </row>
    <row r="14" spans="1:7" x14ac:dyDescent="0.25">
      <c r="A14" s="2" t="s">
        <v>65</v>
      </c>
      <c r="B14" s="3" t="s">
        <v>66</v>
      </c>
      <c r="C14" s="75" t="s">
        <v>67</v>
      </c>
      <c r="D14" s="75"/>
      <c r="E14" s="3" t="s">
        <v>68</v>
      </c>
      <c r="F14" s="23">
        <v>2</v>
      </c>
      <c r="G14" s="24">
        <v>0</v>
      </c>
    </row>
    <row r="15" spans="1:7" x14ac:dyDescent="0.25">
      <c r="A15" s="2" t="s">
        <v>71</v>
      </c>
      <c r="B15" s="3" t="s">
        <v>72</v>
      </c>
      <c r="C15" s="75" t="s">
        <v>73</v>
      </c>
      <c r="D15" s="75"/>
      <c r="E15" s="3" t="s">
        <v>68</v>
      </c>
      <c r="F15" s="23">
        <v>1</v>
      </c>
      <c r="G15" s="24">
        <v>0</v>
      </c>
    </row>
    <row r="16" spans="1:7" x14ac:dyDescent="0.25">
      <c r="A16" s="45" t="s">
        <v>53</v>
      </c>
      <c r="B16" s="27" t="s">
        <v>74</v>
      </c>
      <c r="C16" s="99" t="s">
        <v>75</v>
      </c>
      <c r="D16" s="99"/>
      <c r="E16" s="27" t="s">
        <v>53</v>
      </c>
      <c r="F16" s="8" t="s">
        <v>53</v>
      </c>
      <c r="G16" s="29" t="s">
        <v>53</v>
      </c>
    </row>
    <row r="17" spans="1:7" x14ac:dyDescent="0.25">
      <c r="A17" s="2" t="s">
        <v>76</v>
      </c>
      <c r="B17" s="3" t="s">
        <v>77</v>
      </c>
      <c r="C17" s="75" t="s">
        <v>78</v>
      </c>
      <c r="D17" s="75"/>
      <c r="E17" s="3" t="s">
        <v>68</v>
      </c>
      <c r="F17" s="23">
        <v>4</v>
      </c>
      <c r="G17" s="24">
        <v>0</v>
      </c>
    </row>
    <row r="18" spans="1:7" x14ac:dyDescent="0.25">
      <c r="A18" s="2" t="s">
        <v>80</v>
      </c>
      <c r="B18" s="3" t="s">
        <v>81</v>
      </c>
      <c r="C18" s="75" t="s">
        <v>82</v>
      </c>
      <c r="D18" s="75"/>
      <c r="E18" s="3" t="s">
        <v>68</v>
      </c>
      <c r="F18" s="23">
        <v>6</v>
      </c>
      <c r="G18" s="24">
        <v>0</v>
      </c>
    </row>
    <row r="19" spans="1:7" x14ac:dyDescent="0.25">
      <c r="A19" s="45" t="s">
        <v>53</v>
      </c>
      <c r="B19" s="27" t="s">
        <v>83</v>
      </c>
      <c r="C19" s="99" t="s">
        <v>84</v>
      </c>
      <c r="D19" s="99"/>
      <c r="E19" s="27" t="s">
        <v>53</v>
      </c>
      <c r="F19" s="8" t="s">
        <v>53</v>
      </c>
      <c r="G19" s="29" t="s">
        <v>53</v>
      </c>
    </row>
    <row r="20" spans="1:7" x14ac:dyDescent="0.25">
      <c r="A20" s="2" t="s">
        <v>85</v>
      </c>
      <c r="B20" s="3" t="s">
        <v>86</v>
      </c>
      <c r="C20" s="75" t="s">
        <v>87</v>
      </c>
      <c r="D20" s="75"/>
      <c r="E20" s="3" t="s">
        <v>88</v>
      </c>
      <c r="F20" s="23">
        <v>125.45</v>
      </c>
      <c r="G20" s="24">
        <v>0</v>
      </c>
    </row>
    <row r="21" spans="1:7" x14ac:dyDescent="0.25">
      <c r="A21" s="2" t="s">
        <v>53</v>
      </c>
      <c r="B21" s="3" t="s">
        <v>53</v>
      </c>
      <c r="C21" s="46" t="s">
        <v>91</v>
      </c>
      <c r="D21" s="105" t="s">
        <v>53</v>
      </c>
      <c r="E21" s="105"/>
      <c r="F21" s="47">
        <v>125.45</v>
      </c>
      <c r="G21" s="48" t="s">
        <v>53</v>
      </c>
    </row>
    <row r="22" spans="1:7" x14ac:dyDescent="0.25">
      <c r="A22" s="45" t="s">
        <v>53</v>
      </c>
      <c r="B22" s="27" t="s">
        <v>92</v>
      </c>
      <c r="C22" s="99" t="s">
        <v>93</v>
      </c>
      <c r="D22" s="99"/>
      <c r="E22" s="27" t="s">
        <v>53</v>
      </c>
      <c r="F22" s="8" t="s">
        <v>53</v>
      </c>
      <c r="G22" s="29" t="s">
        <v>53</v>
      </c>
    </row>
    <row r="23" spans="1:7" x14ac:dyDescent="0.25">
      <c r="A23" s="2" t="s">
        <v>94</v>
      </c>
      <c r="B23" s="3" t="s">
        <v>95</v>
      </c>
      <c r="C23" s="75" t="s">
        <v>96</v>
      </c>
      <c r="D23" s="75"/>
      <c r="E23" s="3" t="s">
        <v>88</v>
      </c>
      <c r="F23" s="23">
        <v>3.5</v>
      </c>
      <c r="G23" s="24">
        <v>0</v>
      </c>
    </row>
    <row r="24" spans="1:7" x14ac:dyDescent="0.25">
      <c r="A24" s="2" t="s">
        <v>99</v>
      </c>
      <c r="B24" s="3" t="s">
        <v>100</v>
      </c>
      <c r="C24" s="75" t="s">
        <v>101</v>
      </c>
      <c r="D24" s="75"/>
      <c r="E24" s="3" t="s">
        <v>102</v>
      </c>
      <c r="F24" s="23">
        <v>12</v>
      </c>
      <c r="G24" s="24">
        <v>0</v>
      </c>
    </row>
    <row r="25" spans="1:7" x14ac:dyDescent="0.25">
      <c r="A25" s="2" t="s">
        <v>103</v>
      </c>
      <c r="B25" s="3" t="s">
        <v>104</v>
      </c>
      <c r="C25" s="75" t="s">
        <v>105</v>
      </c>
      <c r="D25" s="75"/>
      <c r="E25" s="3" t="s">
        <v>102</v>
      </c>
      <c r="F25" s="23">
        <v>6</v>
      </c>
      <c r="G25" s="24">
        <v>0</v>
      </c>
    </row>
    <row r="26" spans="1:7" x14ac:dyDescent="0.25">
      <c r="A26" s="2" t="s">
        <v>106</v>
      </c>
      <c r="B26" s="3" t="s">
        <v>107</v>
      </c>
      <c r="C26" s="75" t="s">
        <v>108</v>
      </c>
      <c r="D26" s="75"/>
      <c r="E26" s="3" t="s">
        <v>102</v>
      </c>
      <c r="F26" s="23">
        <v>6</v>
      </c>
      <c r="G26" s="24">
        <v>0</v>
      </c>
    </row>
    <row r="27" spans="1:7" x14ac:dyDescent="0.25">
      <c r="A27" s="2" t="s">
        <v>109</v>
      </c>
      <c r="B27" s="3" t="s">
        <v>110</v>
      </c>
      <c r="C27" s="75" t="s">
        <v>111</v>
      </c>
      <c r="D27" s="75"/>
      <c r="E27" s="3" t="s">
        <v>102</v>
      </c>
      <c r="F27" s="23">
        <v>6</v>
      </c>
      <c r="G27" s="24">
        <v>0</v>
      </c>
    </row>
    <row r="28" spans="1:7" x14ac:dyDescent="0.25">
      <c r="A28" s="2" t="s">
        <v>112</v>
      </c>
      <c r="B28" s="3" t="s">
        <v>107</v>
      </c>
      <c r="C28" s="75" t="s">
        <v>113</v>
      </c>
      <c r="D28" s="75"/>
      <c r="E28" s="3" t="s">
        <v>102</v>
      </c>
      <c r="F28" s="23">
        <v>6</v>
      </c>
      <c r="G28" s="24">
        <v>0</v>
      </c>
    </row>
    <row r="29" spans="1:7" x14ac:dyDescent="0.25">
      <c r="A29" s="2" t="s">
        <v>114</v>
      </c>
      <c r="B29" s="3" t="s">
        <v>115</v>
      </c>
      <c r="C29" s="75" t="s">
        <v>116</v>
      </c>
      <c r="D29" s="75"/>
      <c r="E29" s="3" t="s">
        <v>102</v>
      </c>
      <c r="F29" s="23">
        <v>2</v>
      </c>
      <c r="G29" s="24">
        <v>0</v>
      </c>
    </row>
    <row r="30" spans="1:7" x14ac:dyDescent="0.25">
      <c r="A30" s="45" t="s">
        <v>53</v>
      </c>
      <c r="B30" s="27" t="s">
        <v>117</v>
      </c>
      <c r="C30" s="99" t="s">
        <v>118</v>
      </c>
      <c r="D30" s="99"/>
      <c r="E30" s="27" t="s">
        <v>53</v>
      </c>
      <c r="F30" s="8" t="s">
        <v>53</v>
      </c>
      <c r="G30" s="29" t="s">
        <v>53</v>
      </c>
    </row>
    <row r="31" spans="1:7" x14ac:dyDescent="0.25">
      <c r="A31" s="2" t="s">
        <v>119</v>
      </c>
      <c r="B31" s="3" t="s">
        <v>120</v>
      </c>
      <c r="C31" s="75" t="s">
        <v>121</v>
      </c>
      <c r="D31" s="75"/>
      <c r="E31" s="3" t="s">
        <v>68</v>
      </c>
      <c r="F31" s="23">
        <v>10</v>
      </c>
      <c r="G31" s="24">
        <v>0</v>
      </c>
    </row>
    <row r="32" spans="1:7" x14ac:dyDescent="0.25">
      <c r="A32" s="2" t="s">
        <v>124</v>
      </c>
      <c r="B32" s="3" t="s">
        <v>125</v>
      </c>
      <c r="C32" s="75" t="s">
        <v>126</v>
      </c>
      <c r="D32" s="75"/>
      <c r="E32" s="3" t="s">
        <v>102</v>
      </c>
      <c r="F32" s="23">
        <v>6</v>
      </c>
      <c r="G32" s="24">
        <v>0</v>
      </c>
    </row>
    <row r="33" spans="1:7" x14ac:dyDescent="0.25">
      <c r="A33" s="2" t="s">
        <v>127</v>
      </c>
      <c r="B33" s="3" t="s">
        <v>125</v>
      </c>
      <c r="C33" s="75" t="s">
        <v>128</v>
      </c>
      <c r="D33" s="75"/>
      <c r="E33" s="3" t="s">
        <v>102</v>
      </c>
      <c r="F33" s="23">
        <v>2</v>
      </c>
      <c r="G33" s="24">
        <v>0</v>
      </c>
    </row>
    <row r="34" spans="1:7" x14ac:dyDescent="0.25">
      <c r="A34" s="2" t="s">
        <v>129</v>
      </c>
      <c r="B34" s="3" t="s">
        <v>130</v>
      </c>
      <c r="C34" s="75" t="s">
        <v>131</v>
      </c>
      <c r="D34" s="75"/>
      <c r="E34" s="3" t="s">
        <v>102</v>
      </c>
      <c r="F34" s="23">
        <v>8</v>
      </c>
      <c r="G34" s="24">
        <v>0</v>
      </c>
    </row>
    <row r="35" spans="1:7" x14ac:dyDescent="0.25">
      <c r="A35" s="45" t="s">
        <v>53</v>
      </c>
      <c r="B35" s="27" t="s">
        <v>132</v>
      </c>
      <c r="C35" s="99" t="s">
        <v>133</v>
      </c>
      <c r="D35" s="99"/>
      <c r="E35" s="27" t="s">
        <v>53</v>
      </c>
      <c r="F35" s="8" t="s">
        <v>53</v>
      </c>
      <c r="G35" s="29" t="s">
        <v>53</v>
      </c>
    </row>
    <row r="36" spans="1:7" x14ac:dyDescent="0.25">
      <c r="A36" s="2" t="s">
        <v>134</v>
      </c>
      <c r="B36" s="3" t="s">
        <v>135</v>
      </c>
      <c r="C36" s="75" t="s">
        <v>136</v>
      </c>
      <c r="D36" s="75"/>
      <c r="E36" s="3" t="s">
        <v>68</v>
      </c>
      <c r="F36" s="23">
        <v>1</v>
      </c>
      <c r="G36" s="24">
        <v>0</v>
      </c>
    </row>
    <row r="37" spans="1:7" x14ac:dyDescent="0.25">
      <c r="A37" s="2" t="s">
        <v>138</v>
      </c>
      <c r="B37" s="3" t="s">
        <v>139</v>
      </c>
      <c r="C37" s="75" t="s">
        <v>140</v>
      </c>
      <c r="D37" s="75"/>
      <c r="E37" s="3" t="s">
        <v>68</v>
      </c>
      <c r="F37" s="23">
        <v>1</v>
      </c>
      <c r="G37" s="24">
        <v>0</v>
      </c>
    </row>
    <row r="38" spans="1:7" x14ac:dyDescent="0.25">
      <c r="A38" s="2" t="s">
        <v>141</v>
      </c>
      <c r="B38" s="3" t="s">
        <v>142</v>
      </c>
      <c r="C38" s="75" t="s">
        <v>143</v>
      </c>
      <c r="D38" s="75"/>
      <c r="E38" s="3" t="s">
        <v>68</v>
      </c>
      <c r="F38" s="23">
        <v>1</v>
      </c>
      <c r="G38" s="24">
        <v>0</v>
      </c>
    </row>
    <row r="39" spans="1:7" x14ac:dyDescent="0.25">
      <c r="A39" s="2" t="s">
        <v>144</v>
      </c>
      <c r="B39" s="3" t="s">
        <v>145</v>
      </c>
      <c r="C39" s="75" t="s">
        <v>146</v>
      </c>
      <c r="D39" s="75"/>
      <c r="E39" s="3" t="s">
        <v>68</v>
      </c>
      <c r="F39" s="23">
        <v>1</v>
      </c>
      <c r="G39" s="24">
        <v>0</v>
      </c>
    </row>
    <row r="40" spans="1:7" x14ac:dyDescent="0.25">
      <c r="A40" s="2" t="s">
        <v>147</v>
      </c>
      <c r="B40" s="3" t="s">
        <v>148</v>
      </c>
      <c r="C40" s="75" t="s">
        <v>149</v>
      </c>
      <c r="D40" s="75"/>
      <c r="E40" s="3" t="s">
        <v>68</v>
      </c>
      <c r="F40" s="23">
        <v>2</v>
      </c>
      <c r="G40" s="24">
        <v>0</v>
      </c>
    </row>
    <row r="41" spans="1:7" x14ac:dyDescent="0.25">
      <c r="A41" s="2" t="s">
        <v>150</v>
      </c>
      <c r="B41" s="3" t="s">
        <v>151</v>
      </c>
      <c r="C41" s="75" t="s">
        <v>152</v>
      </c>
      <c r="D41" s="75"/>
      <c r="E41" s="3" t="s">
        <v>68</v>
      </c>
      <c r="F41" s="23">
        <v>1</v>
      </c>
      <c r="G41" s="24">
        <v>0</v>
      </c>
    </row>
    <row r="42" spans="1:7" x14ac:dyDescent="0.25">
      <c r="A42" s="2" t="s">
        <v>153</v>
      </c>
      <c r="B42" s="3" t="s">
        <v>154</v>
      </c>
      <c r="C42" s="75" t="s">
        <v>155</v>
      </c>
      <c r="D42" s="75"/>
      <c r="E42" s="3" t="s">
        <v>68</v>
      </c>
      <c r="F42" s="23">
        <v>2</v>
      </c>
      <c r="G42" s="24">
        <v>0</v>
      </c>
    </row>
    <row r="43" spans="1:7" x14ac:dyDescent="0.25">
      <c r="A43" s="2" t="s">
        <v>156</v>
      </c>
      <c r="B43" s="3" t="s">
        <v>157</v>
      </c>
      <c r="C43" s="75" t="s">
        <v>158</v>
      </c>
      <c r="D43" s="75"/>
      <c r="E43" s="3" t="s">
        <v>102</v>
      </c>
      <c r="F43" s="23">
        <v>4</v>
      </c>
      <c r="G43" s="24">
        <v>0</v>
      </c>
    </row>
    <row r="44" spans="1:7" x14ac:dyDescent="0.25">
      <c r="A44" s="2" t="s">
        <v>159</v>
      </c>
      <c r="B44" s="3" t="s">
        <v>145</v>
      </c>
      <c r="C44" s="75" t="s">
        <v>160</v>
      </c>
      <c r="D44" s="75"/>
      <c r="E44" s="3" t="s">
        <v>68</v>
      </c>
      <c r="F44" s="23">
        <v>1</v>
      </c>
      <c r="G44" s="24">
        <v>0</v>
      </c>
    </row>
    <row r="45" spans="1:7" x14ac:dyDescent="0.25">
      <c r="A45" s="2" t="s">
        <v>161</v>
      </c>
      <c r="B45" s="3" t="s">
        <v>162</v>
      </c>
      <c r="C45" s="75" t="s">
        <v>163</v>
      </c>
      <c r="D45" s="75"/>
      <c r="E45" s="3" t="s">
        <v>68</v>
      </c>
      <c r="F45" s="23">
        <v>1</v>
      </c>
      <c r="G45" s="24">
        <v>0</v>
      </c>
    </row>
    <row r="46" spans="1:7" x14ac:dyDescent="0.25">
      <c r="A46" s="2" t="s">
        <v>164</v>
      </c>
      <c r="B46" s="3" t="s">
        <v>165</v>
      </c>
      <c r="C46" s="75" t="s">
        <v>166</v>
      </c>
      <c r="D46" s="75"/>
      <c r="E46" s="3" t="s">
        <v>102</v>
      </c>
      <c r="F46" s="23">
        <v>2</v>
      </c>
      <c r="G46" s="24">
        <v>0</v>
      </c>
    </row>
    <row r="47" spans="1:7" x14ac:dyDescent="0.25">
      <c r="A47" s="2" t="s">
        <v>167</v>
      </c>
      <c r="B47" s="3" t="s">
        <v>168</v>
      </c>
      <c r="C47" s="75" t="s">
        <v>169</v>
      </c>
      <c r="D47" s="75"/>
      <c r="E47" s="3" t="s">
        <v>102</v>
      </c>
      <c r="F47" s="23">
        <v>4</v>
      </c>
      <c r="G47" s="24">
        <v>0</v>
      </c>
    </row>
    <row r="48" spans="1:7" x14ac:dyDescent="0.25">
      <c r="A48" s="2" t="s">
        <v>170</v>
      </c>
      <c r="B48" s="3" t="s">
        <v>171</v>
      </c>
      <c r="C48" s="75" t="s">
        <v>172</v>
      </c>
      <c r="D48" s="75"/>
      <c r="E48" s="3" t="s">
        <v>102</v>
      </c>
      <c r="F48" s="23">
        <v>12</v>
      </c>
      <c r="G48" s="24">
        <v>0</v>
      </c>
    </row>
    <row r="49" spans="1:7" x14ac:dyDescent="0.25">
      <c r="A49" s="2" t="s">
        <v>63</v>
      </c>
      <c r="B49" s="3" t="s">
        <v>173</v>
      </c>
      <c r="C49" s="75" t="s">
        <v>174</v>
      </c>
      <c r="D49" s="75"/>
      <c r="E49" s="3" t="s">
        <v>175</v>
      </c>
      <c r="F49" s="23">
        <v>3</v>
      </c>
      <c r="G49" s="24">
        <v>0</v>
      </c>
    </row>
    <row r="50" spans="1:7" x14ac:dyDescent="0.25">
      <c r="A50" s="2" t="s">
        <v>176</v>
      </c>
      <c r="B50" s="3" t="s">
        <v>177</v>
      </c>
      <c r="C50" s="75" t="s">
        <v>178</v>
      </c>
      <c r="D50" s="75"/>
      <c r="E50" s="3" t="s">
        <v>68</v>
      </c>
      <c r="F50" s="23">
        <v>1</v>
      </c>
      <c r="G50" s="24">
        <v>0</v>
      </c>
    </row>
    <row r="51" spans="1:7" x14ac:dyDescent="0.25">
      <c r="A51" s="2" t="s">
        <v>179</v>
      </c>
      <c r="B51" s="3" t="s">
        <v>180</v>
      </c>
      <c r="C51" s="75" t="s">
        <v>181</v>
      </c>
      <c r="D51" s="75"/>
      <c r="E51" s="3" t="s">
        <v>68</v>
      </c>
      <c r="F51" s="23">
        <v>1</v>
      </c>
      <c r="G51" s="24">
        <v>0</v>
      </c>
    </row>
    <row r="52" spans="1:7" x14ac:dyDescent="0.25">
      <c r="A52" s="2" t="s">
        <v>74</v>
      </c>
      <c r="B52" s="3" t="s">
        <v>182</v>
      </c>
      <c r="C52" s="75" t="s">
        <v>183</v>
      </c>
      <c r="D52" s="75"/>
      <c r="E52" s="3" t="s">
        <v>68</v>
      </c>
      <c r="F52" s="23">
        <v>3</v>
      </c>
      <c r="G52" s="24">
        <v>0</v>
      </c>
    </row>
    <row r="53" spans="1:7" x14ac:dyDescent="0.25">
      <c r="A53" s="2" t="s">
        <v>184</v>
      </c>
      <c r="B53" s="3" t="s">
        <v>185</v>
      </c>
      <c r="C53" s="75" t="s">
        <v>186</v>
      </c>
      <c r="D53" s="75"/>
      <c r="E53" s="3" t="s">
        <v>68</v>
      </c>
      <c r="F53" s="23">
        <v>1</v>
      </c>
      <c r="G53" s="24">
        <v>0</v>
      </c>
    </row>
    <row r="54" spans="1:7" x14ac:dyDescent="0.25">
      <c r="A54" s="2" t="s">
        <v>187</v>
      </c>
      <c r="B54" s="3" t="s">
        <v>188</v>
      </c>
      <c r="C54" s="75" t="s">
        <v>189</v>
      </c>
      <c r="D54" s="75"/>
      <c r="E54" s="3" t="s">
        <v>68</v>
      </c>
      <c r="F54" s="23">
        <v>1</v>
      </c>
      <c r="G54" s="24">
        <v>0</v>
      </c>
    </row>
    <row r="55" spans="1:7" x14ac:dyDescent="0.25">
      <c r="A55" s="2" t="s">
        <v>190</v>
      </c>
      <c r="B55" s="3" t="s">
        <v>191</v>
      </c>
      <c r="C55" s="75" t="s">
        <v>192</v>
      </c>
      <c r="D55" s="75"/>
      <c r="E55" s="3" t="s">
        <v>68</v>
      </c>
      <c r="F55" s="23">
        <v>1</v>
      </c>
      <c r="G55" s="24">
        <v>0</v>
      </c>
    </row>
    <row r="56" spans="1:7" x14ac:dyDescent="0.25">
      <c r="A56" s="2" t="s">
        <v>193</v>
      </c>
      <c r="B56" s="3" t="s">
        <v>194</v>
      </c>
      <c r="C56" s="75" t="s">
        <v>195</v>
      </c>
      <c r="D56" s="75"/>
      <c r="E56" s="3" t="s">
        <v>68</v>
      </c>
      <c r="F56" s="23">
        <v>3</v>
      </c>
      <c r="G56" s="24">
        <v>0</v>
      </c>
    </row>
    <row r="57" spans="1:7" x14ac:dyDescent="0.25">
      <c r="A57" s="2" t="s">
        <v>196</v>
      </c>
      <c r="B57" s="3" t="s">
        <v>197</v>
      </c>
      <c r="C57" s="75" t="s">
        <v>198</v>
      </c>
      <c r="D57" s="75"/>
      <c r="E57" s="3" t="s">
        <v>68</v>
      </c>
      <c r="F57" s="23">
        <v>1</v>
      </c>
      <c r="G57" s="24">
        <v>0</v>
      </c>
    </row>
    <row r="58" spans="1:7" x14ac:dyDescent="0.25">
      <c r="A58" s="2" t="s">
        <v>199</v>
      </c>
      <c r="B58" s="3" t="s">
        <v>200</v>
      </c>
      <c r="C58" s="75" t="s">
        <v>201</v>
      </c>
      <c r="D58" s="75"/>
      <c r="E58" s="3" t="s">
        <v>68</v>
      </c>
      <c r="F58" s="23">
        <v>3</v>
      </c>
      <c r="G58" s="24">
        <v>0</v>
      </c>
    </row>
    <row r="59" spans="1:7" x14ac:dyDescent="0.25">
      <c r="A59" s="2" t="s">
        <v>202</v>
      </c>
      <c r="B59" s="3" t="s">
        <v>203</v>
      </c>
      <c r="C59" s="75" t="s">
        <v>204</v>
      </c>
      <c r="D59" s="75"/>
      <c r="E59" s="3" t="s">
        <v>68</v>
      </c>
      <c r="F59" s="23">
        <v>1</v>
      </c>
      <c r="G59" s="24">
        <v>0</v>
      </c>
    </row>
    <row r="60" spans="1:7" x14ac:dyDescent="0.25">
      <c r="A60" s="2" t="s">
        <v>205</v>
      </c>
      <c r="B60" s="3" t="s">
        <v>206</v>
      </c>
      <c r="C60" s="75" t="s">
        <v>207</v>
      </c>
      <c r="D60" s="75"/>
      <c r="E60" s="3" t="s">
        <v>68</v>
      </c>
      <c r="F60" s="23">
        <v>1</v>
      </c>
      <c r="G60" s="24">
        <v>0</v>
      </c>
    </row>
    <row r="61" spans="1:7" x14ac:dyDescent="0.25">
      <c r="A61" s="2" t="s">
        <v>208</v>
      </c>
      <c r="B61" s="3" t="s">
        <v>209</v>
      </c>
      <c r="C61" s="75" t="s">
        <v>210</v>
      </c>
      <c r="D61" s="75"/>
      <c r="E61" s="3" t="s">
        <v>68</v>
      </c>
      <c r="F61" s="23">
        <v>1</v>
      </c>
      <c r="G61" s="24">
        <v>0</v>
      </c>
    </row>
    <row r="62" spans="1:7" x14ac:dyDescent="0.25">
      <c r="A62" s="2" t="s">
        <v>211</v>
      </c>
      <c r="B62" s="3" t="s">
        <v>212</v>
      </c>
      <c r="C62" s="75" t="s">
        <v>213</v>
      </c>
      <c r="D62" s="75"/>
      <c r="E62" s="3" t="s">
        <v>68</v>
      </c>
      <c r="F62" s="23">
        <v>9</v>
      </c>
      <c r="G62" s="24">
        <v>0</v>
      </c>
    </row>
    <row r="63" spans="1:7" x14ac:dyDescent="0.25">
      <c r="A63" s="45" t="s">
        <v>53</v>
      </c>
      <c r="B63" s="27" t="s">
        <v>214</v>
      </c>
      <c r="C63" s="99" t="s">
        <v>215</v>
      </c>
      <c r="D63" s="99"/>
      <c r="E63" s="27" t="s">
        <v>53</v>
      </c>
      <c r="F63" s="8" t="s">
        <v>53</v>
      </c>
      <c r="G63" s="29" t="s">
        <v>53</v>
      </c>
    </row>
    <row r="64" spans="1:7" x14ac:dyDescent="0.25">
      <c r="A64" s="2" t="s">
        <v>216</v>
      </c>
      <c r="B64" s="3" t="s">
        <v>217</v>
      </c>
      <c r="C64" s="75" t="s">
        <v>218</v>
      </c>
      <c r="D64" s="75"/>
      <c r="E64" s="3" t="s">
        <v>102</v>
      </c>
      <c r="F64" s="23">
        <v>80</v>
      </c>
      <c r="G64" s="24">
        <v>0</v>
      </c>
    </row>
    <row r="65" spans="1:7" x14ac:dyDescent="0.25">
      <c r="A65" s="2" t="s">
        <v>220</v>
      </c>
      <c r="B65" s="3" t="s">
        <v>217</v>
      </c>
      <c r="C65" s="75" t="s">
        <v>221</v>
      </c>
      <c r="D65" s="75"/>
      <c r="E65" s="3" t="s">
        <v>102</v>
      </c>
      <c r="F65" s="23">
        <v>80</v>
      </c>
      <c r="G65" s="24">
        <v>0</v>
      </c>
    </row>
    <row r="66" spans="1:7" x14ac:dyDescent="0.25">
      <c r="A66" s="2" t="s">
        <v>222</v>
      </c>
      <c r="B66" s="3" t="s">
        <v>223</v>
      </c>
      <c r="C66" s="75" t="s">
        <v>224</v>
      </c>
      <c r="D66" s="75"/>
      <c r="E66" s="3" t="s">
        <v>102</v>
      </c>
      <c r="F66" s="23">
        <v>1</v>
      </c>
      <c r="G66" s="24">
        <v>0</v>
      </c>
    </row>
    <row r="67" spans="1:7" x14ac:dyDescent="0.25">
      <c r="A67" s="2" t="s">
        <v>225</v>
      </c>
      <c r="B67" s="3" t="s">
        <v>226</v>
      </c>
      <c r="C67" s="75" t="s">
        <v>227</v>
      </c>
      <c r="D67" s="75"/>
      <c r="E67" s="3" t="s">
        <v>102</v>
      </c>
      <c r="F67" s="23">
        <v>4</v>
      </c>
      <c r="G67" s="24">
        <v>0</v>
      </c>
    </row>
    <row r="68" spans="1:7" x14ac:dyDescent="0.25">
      <c r="A68" s="2" t="s">
        <v>228</v>
      </c>
      <c r="B68" s="3" t="s">
        <v>229</v>
      </c>
      <c r="C68" s="75" t="s">
        <v>230</v>
      </c>
      <c r="D68" s="75"/>
      <c r="E68" s="3" t="s">
        <v>68</v>
      </c>
      <c r="F68" s="23">
        <v>1</v>
      </c>
      <c r="G68" s="24">
        <v>0</v>
      </c>
    </row>
    <row r="69" spans="1:7" x14ac:dyDescent="0.25">
      <c r="A69" s="2" t="s">
        <v>231</v>
      </c>
      <c r="B69" s="3" t="s">
        <v>232</v>
      </c>
      <c r="C69" s="75" t="s">
        <v>233</v>
      </c>
      <c r="D69" s="75"/>
      <c r="E69" s="3" t="s">
        <v>68</v>
      </c>
      <c r="F69" s="23">
        <v>1</v>
      </c>
      <c r="G69" s="24">
        <v>0</v>
      </c>
    </row>
    <row r="70" spans="1:7" x14ac:dyDescent="0.25">
      <c r="A70" s="2" t="s">
        <v>234</v>
      </c>
      <c r="B70" s="3" t="s">
        <v>235</v>
      </c>
      <c r="C70" s="75" t="s">
        <v>236</v>
      </c>
      <c r="D70" s="75"/>
      <c r="E70" s="3" t="s">
        <v>68</v>
      </c>
      <c r="F70" s="23">
        <v>1</v>
      </c>
      <c r="G70" s="24">
        <v>0</v>
      </c>
    </row>
    <row r="71" spans="1:7" x14ac:dyDescent="0.25">
      <c r="A71" s="2" t="s">
        <v>237</v>
      </c>
      <c r="B71" s="3" t="s">
        <v>238</v>
      </c>
      <c r="C71" s="75" t="s">
        <v>239</v>
      </c>
      <c r="D71" s="75"/>
      <c r="E71" s="3" t="s">
        <v>68</v>
      </c>
      <c r="F71" s="23">
        <v>3</v>
      </c>
      <c r="G71" s="24">
        <v>0</v>
      </c>
    </row>
    <row r="72" spans="1:7" x14ac:dyDescent="0.25">
      <c r="A72" s="2" t="s">
        <v>240</v>
      </c>
      <c r="B72" s="3" t="s">
        <v>241</v>
      </c>
      <c r="C72" s="75" t="s">
        <v>242</v>
      </c>
      <c r="D72" s="75"/>
      <c r="E72" s="3" t="s">
        <v>68</v>
      </c>
      <c r="F72" s="23">
        <v>1</v>
      </c>
      <c r="G72" s="24">
        <v>0</v>
      </c>
    </row>
    <row r="73" spans="1:7" x14ac:dyDescent="0.25">
      <c r="A73" s="2" t="s">
        <v>243</v>
      </c>
      <c r="B73" s="3" t="s">
        <v>244</v>
      </c>
      <c r="C73" s="75" t="s">
        <v>245</v>
      </c>
      <c r="D73" s="75"/>
      <c r="E73" s="3" t="s">
        <v>68</v>
      </c>
      <c r="F73" s="23">
        <v>1</v>
      </c>
      <c r="G73" s="24">
        <v>0</v>
      </c>
    </row>
    <row r="74" spans="1:7" x14ac:dyDescent="0.25">
      <c r="A74" s="2" t="s">
        <v>53</v>
      </c>
      <c r="B74" s="3" t="s">
        <v>53</v>
      </c>
      <c r="C74" s="46" t="s">
        <v>56</v>
      </c>
      <c r="D74" s="105" t="s">
        <v>246</v>
      </c>
      <c r="E74" s="105"/>
      <c r="F74" s="47">
        <v>1</v>
      </c>
      <c r="G74" s="48" t="s">
        <v>53</v>
      </c>
    </row>
    <row r="75" spans="1:7" x14ac:dyDescent="0.25">
      <c r="A75" s="2" t="s">
        <v>247</v>
      </c>
      <c r="B75" s="3" t="s">
        <v>248</v>
      </c>
      <c r="C75" s="75" t="s">
        <v>249</v>
      </c>
      <c r="D75" s="75"/>
      <c r="E75" s="3" t="s">
        <v>68</v>
      </c>
      <c r="F75" s="23">
        <v>1</v>
      </c>
      <c r="G75" s="24">
        <v>0</v>
      </c>
    </row>
    <row r="76" spans="1:7" x14ac:dyDescent="0.25">
      <c r="A76" s="2" t="s">
        <v>250</v>
      </c>
      <c r="B76" s="3" t="s">
        <v>251</v>
      </c>
      <c r="C76" s="75" t="s">
        <v>252</v>
      </c>
      <c r="D76" s="75"/>
      <c r="E76" s="3" t="s">
        <v>68</v>
      </c>
      <c r="F76" s="23">
        <v>1</v>
      </c>
      <c r="G76" s="24">
        <v>0</v>
      </c>
    </row>
    <row r="77" spans="1:7" x14ac:dyDescent="0.25">
      <c r="A77" s="2" t="s">
        <v>253</v>
      </c>
      <c r="B77" s="3" t="s">
        <v>254</v>
      </c>
      <c r="C77" s="75" t="s">
        <v>255</v>
      </c>
      <c r="D77" s="75"/>
      <c r="E77" s="3" t="s">
        <v>68</v>
      </c>
      <c r="F77" s="23">
        <v>3</v>
      </c>
      <c r="G77" s="24">
        <v>0</v>
      </c>
    </row>
    <row r="78" spans="1:7" x14ac:dyDescent="0.25">
      <c r="A78" s="2" t="s">
        <v>256</v>
      </c>
      <c r="B78" s="3" t="s">
        <v>257</v>
      </c>
      <c r="C78" s="75" t="s">
        <v>258</v>
      </c>
      <c r="D78" s="75"/>
      <c r="E78" s="3" t="s">
        <v>68</v>
      </c>
      <c r="F78" s="23">
        <v>3</v>
      </c>
      <c r="G78" s="24">
        <v>0</v>
      </c>
    </row>
    <row r="79" spans="1:7" x14ac:dyDescent="0.25">
      <c r="A79" s="2" t="s">
        <v>259</v>
      </c>
      <c r="B79" s="3" t="s">
        <v>260</v>
      </c>
      <c r="C79" s="75" t="s">
        <v>261</v>
      </c>
      <c r="D79" s="75"/>
      <c r="E79" s="3" t="s">
        <v>102</v>
      </c>
      <c r="F79" s="23">
        <v>1</v>
      </c>
      <c r="G79" s="24">
        <v>0</v>
      </c>
    </row>
    <row r="80" spans="1:7" x14ac:dyDescent="0.25">
      <c r="A80" s="2" t="s">
        <v>262</v>
      </c>
      <c r="B80" s="3" t="s">
        <v>263</v>
      </c>
      <c r="C80" s="75" t="s">
        <v>264</v>
      </c>
      <c r="D80" s="75"/>
      <c r="E80" s="3" t="s">
        <v>102</v>
      </c>
      <c r="F80" s="23">
        <v>6</v>
      </c>
      <c r="G80" s="24">
        <v>0</v>
      </c>
    </row>
    <row r="81" spans="1:7" x14ac:dyDescent="0.25">
      <c r="A81" s="2" t="s">
        <v>83</v>
      </c>
      <c r="B81" s="3" t="s">
        <v>265</v>
      </c>
      <c r="C81" s="75" t="s">
        <v>266</v>
      </c>
      <c r="D81" s="75"/>
      <c r="E81" s="3" t="s">
        <v>102</v>
      </c>
      <c r="F81" s="23">
        <v>5</v>
      </c>
      <c r="G81" s="24">
        <v>0</v>
      </c>
    </row>
    <row r="82" spans="1:7" x14ac:dyDescent="0.25">
      <c r="A82" s="2" t="s">
        <v>267</v>
      </c>
      <c r="B82" s="3" t="s">
        <v>268</v>
      </c>
      <c r="C82" s="75" t="s">
        <v>269</v>
      </c>
      <c r="D82" s="75"/>
      <c r="E82" s="3" t="s">
        <v>102</v>
      </c>
      <c r="F82" s="23">
        <v>1</v>
      </c>
      <c r="G82" s="24">
        <v>0</v>
      </c>
    </row>
    <row r="83" spans="1:7" x14ac:dyDescent="0.25">
      <c r="A83" s="2" t="s">
        <v>270</v>
      </c>
      <c r="B83" s="3" t="s">
        <v>271</v>
      </c>
      <c r="C83" s="75" t="s">
        <v>272</v>
      </c>
      <c r="D83" s="75"/>
      <c r="E83" s="3" t="s">
        <v>68</v>
      </c>
      <c r="F83" s="23">
        <v>1</v>
      </c>
      <c r="G83" s="24">
        <v>0</v>
      </c>
    </row>
    <row r="84" spans="1:7" x14ac:dyDescent="0.25">
      <c r="A84" s="2" t="s">
        <v>273</v>
      </c>
      <c r="B84" s="3" t="s">
        <v>274</v>
      </c>
      <c r="C84" s="75" t="s">
        <v>275</v>
      </c>
      <c r="D84" s="75"/>
      <c r="E84" s="3" t="s">
        <v>68</v>
      </c>
      <c r="F84" s="23">
        <v>5</v>
      </c>
      <c r="G84" s="24">
        <v>0</v>
      </c>
    </row>
    <row r="85" spans="1:7" x14ac:dyDescent="0.25">
      <c r="A85" s="2" t="s">
        <v>276</v>
      </c>
      <c r="B85" s="3" t="s">
        <v>277</v>
      </c>
      <c r="C85" s="75" t="s">
        <v>278</v>
      </c>
      <c r="D85" s="75"/>
      <c r="E85" s="3" t="s">
        <v>68</v>
      </c>
      <c r="F85" s="23">
        <v>1</v>
      </c>
      <c r="G85" s="24">
        <v>0</v>
      </c>
    </row>
    <row r="86" spans="1:7" x14ac:dyDescent="0.25">
      <c r="A86" s="45" t="s">
        <v>53</v>
      </c>
      <c r="B86" s="27" t="s">
        <v>279</v>
      </c>
      <c r="C86" s="99" t="s">
        <v>280</v>
      </c>
      <c r="D86" s="99"/>
      <c r="E86" s="27" t="s">
        <v>53</v>
      </c>
      <c r="F86" s="8" t="s">
        <v>53</v>
      </c>
      <c r="G86" s="29" t="s">
        <v>53</v>
      </c>
    </row>
    <row r="87" spans="1:7" x14ac:dyDescent="0.25">
      <c r="A87" s="2" t="s">
        <v>281</v>
      </c>
      <c r="B87" s="3" t="s">
        <v>282</v>
      </c>
      <c r="C87" s="75" t="s">
        <v>283</v>
      </c>
      <c r="D87" s="75"/>
      <c r="E87" s="3" t="s">
        <v>68</v>
      </c>
      <c r="F87" s="23">
        <v>3</v>
      </c>
      <c r="G87" s="24">
        <v>0</v>
      </c>
    </row>
    <row r="88" spans="1:7" x14ac:dyDescent="0.25">
      <c r="A88" s="2" t="s">
        <v>286</v>
      </c>
      <c r="B88" s="3" t="s">
        <v>287</v>
      </c>
      <c r="C88" s="75" t="s">
        <v>288</v>
      </c>
      <c r="D88" s="75"/>
      <c r="E88" s="3" t="s">
        <v>68</v>
      </c>
      <c r="F88" s="23">
        <v>3</v>
      </c>
      <c r="G88" s="24">
        <v>0</v>
      </c>
    </row>
    <row r="89" spans="1:7" x14ac:dyDescent="0.25">
      <c r="A89" s="2" t="s">
        <v>289</v>
      </c>
      <c r="B89" s="3" t="s">
        <v>290</v>
      </c>
      <c r="C89" s="75" t="s">
        <v>291</v>
      </c>
      <c r="D89" s="75"/>
      <c r="E89" s="3" t="s">
        <v>68</v>
      </c>
      <c r="F89" s="23">
        <v>3</v>
      </c>
      <c r="G89" s="24">
        <v>0</v>
      </c>
    </row>
    <row r="90" spans="1:7" x14ac:dyDescent="0.25">
      <c r="A90" s="2" t="s">
        <v>292</v>
      </c>
      <c r="B90" s="3" t="s">
        <v>293</v>
      </c>
      <c r="C90" s="75" t="s">
        <v>294</v>
      </c>
      <c r="D90" s="75"/>
      <c r="E90" s="3" t="s">
        <v>68</v>
      </c>
      <c r="F90" s="23">
        <v>3</v>
      </c>
      <c r="G90" s="24">
        <v>0</v>
      </c>
    </row>
    <row r="91" spans="1:7" x14ac:dyDescent="0.25">
      <c r="A91" s="2" t="s">
        <v>295</v>
      </c>
      <c r="B91" s="3" t="s">
        <v>296</v>
      </c>
      <c r="C91" s="75" t="s">
        <v>297</v>
      </c>
      <c r="D91" s="75"/>
      <c r="E91" s="3" t="s">
        <v>68</v>
      </c>
      <c r="F91" s="23">
        <v>1</v>
      </c>
      <c r="G91" s="24">
        <v>0</v>
      </c>
    </row>
    <row r="92" spans="1:7" x14ac:dyDescent="0.25">
      <c r="A92" s="2" t="s">
        <v>298</v>
      </c>
      <c r="B92" s="3" t="s">
        <v>299</v>
      </c>
      <c r="C92" s="75" t="s">
        <v>300</v>
      </c>
      <c r="D92" s="75"/>
      <c r="E92" s="3" t="s">
        <v>68</v>
      </c>
      <c r="F92" s="23">
        <v>1</v>
      </c>
      <c r="G92" s="24">
        <v>0</v>
      </c>
    </row>
    <row r="93" spans="1:7" x14ac:dyDescent="0.25">
      <c r="A93" s="2" t="s">
        <v>301</v>
      </c>
      <c r="B93" s="3" t="s">
        <v>302</v>
      </c>
      <c r="C93" s="75" t="s">
        <v>303</v>
      </c>
      <c r="D93" s="75"/>
      <c r="E93" s="3" t="s">
        <v>68</v>
      </c>
      <c r="F93" s="23">
        <v>1</v>
      </c>
      <c r="G93" s="24">
        <v>0</v>
      </c>
    </row>
    <row r="94" spans="1:7" x14ac:dyDescent="0.25">
      <c r="A94" s="45" t="s">
        <v>53</v>
      </c>
      <c r="B94" s="27" t="s">
        <v>304</v>
      </c>
      <c r="C94" s="99" t="s">
        <v>305</v>
      </c>
      <c r="D94" s="99"/>
      <c r="E94" s="27" t="s">
        <v>53</v>
      </c>
      <c r="F94" s="8" t="s">
        <v>53</v>
      </c>
      <c r="G94" s="29" t="s">
        <v>53</v>
      </c>
    </row>
    <row r="95" spans="1:7" x14ac:dyDescent="0.25">
      <c r="A95" s="2" t="s">
        <v>306</v>
      </c>
      <c r="B95" s="3" t="s">
        <v>307</v>
      </c>
      <c r="C95" s="75" t="s">
        <v>308</v>
      </c>
      <c r="D95" s="75"/>
      <c r="E95" s="3" t="s">
        <v>68</v>
      </c>
      <c r="F95" s="23">
        <v>10</v>
      </c>
      <c r="G95" s="24">
        <v>0</v>
      </c>
    </row>
    <row r="96" spans="1:7" x14ac:dyDescent="0.25">
      <c r="A96" s="2" t="s">
        <v>310</v>
      </c>
      <c r="B96" s="3" t="s">
        <v>311</v>
      </c>
      <c r="C96" s="75" t="s">
        <v>312</v>
      </c>
      <c r="D96" s="75"/>
      <c r="E96" s="3" t="s">
        <v>68</v>
      </c>
      <c r="F96" s="23">
        <v>1</v>
      </c>
      <c r="G96" s="24">
        <v>0</v>
      </c>
    </row>
    <row r="97" spans="1:7" x14ac:dyDescent="0.25">
      <c r="A97" s="2" t="s">
        <v>313</v>
      </c>
      <c r="B97" s="3" t="s">
        <v>314</v>
      </c>
      <c r="C97" s="75" t="s">
        <v>315</v>
      </c>
      <c r="D97" s="75"/>
      <c r="E97" s="3" t="s">
        <v>68</v>
      </c>
      <c r="F97" s="23">
        <v>1</v>
      </c>
      <c r="G97" s="24">
        <v>0</v>
      </c>
    </row>
    <row r="98" spans="1:7" x14ac:dyDescent="0.25">
      <c r="A98" s="2" t="s">
        <v>53</v>
      </c>
      <c r="B98" s="3" t="s">
        <v>53</v>
      </c>
      <c r="C98" s="46" t="s">
        <v>56</v>
      </c>
      <c r="D98" s="105" t="s">
        <v>316</v>
      </c>
      <c r="E98" s="105"/>
      <c r="F98" s="47">
        <v>1</v>
      </c>
      <c r="G98" s="48" t="s">
        <v>53</v>
      </c>
    </row>
    <row r="99" spans="1:7" x14ac:dyDescent="0.25">
      <c r="A99" s="2" t="s">
        <v>317</v>
      </c>
      <c r="B99" s="3" t="s">
        <v>318</v>
      </c>
      <c r="C99" s="75" t="s">
        <v>319</v>
      </c>
      <c r="D99" s="75"/>
      <c r="E99" s="3" t="s">
        <v>68</v>
      </c>
      <c r="F99" s="23">
        <v>9</v>
      </c>
      <c r="G99" s="24">
        <v>0</v>
      </c>
    </row>
    <row r="100" spans="1:7" x14ac:dyDescent="0.25">
      <c r="A100" s="2" t="s">
        <v>320</v>
      </c>
      <c r="B100" s="3" t="s">
        <v>321</v>
      </c>
      <c r="C100" s="75" t="s">
        <v>322</v>
      </c>
      <c r="D100" s="75"/>
      <c r="E100" s="3" t="s">
        <v>68</v>
      </c>
      <c r="F100" s="23">
        <v>1</v>
      </c>
      <c r="G100" s="24">
        <v>0</v>
      </c>
    </row>
    <row r="101" spans="1:7" x14ac:dyDescent="0.25">
      <c r="A101" s="2" t="s">
        <v>323</v>
      </c>
      <c r="B101" s="3" t="s">
        <v>321</v>
      </c>
      <c r="C101" s="75" t="s">
        <v>324</v>
      </c>
      <c r="D101" s="75"/>
      <c r="E101" s="3" t="s">
        <v>68</v>
      </c>
      <c r="F101" s="23">
        <v>1</v>
      </c>
      <c r="G101" s="24">
        <v>0</v>
      </c>
    </row>
    <row r="102" spans="1:7" x14ac:dyDescent="0.25">
      <c r="A102" s="2" t="s">
        <v>325</v>
      </c>
      <c r="B102" s="3" t="s">
        <v>321</v>
      </c>
      <c r="C102" s="75" t="s">
        <v>326</v>
      </c>
      <c r="D102" s="75"/>
      <c r="E102" s="3" t="s">
        <v>68</v>
      </c>
      <c r="F102" s="23">
        <v>2</v>
      </c>
      <c r="G102" s="24">
        <v>0</v>
      </c>
    </row>
    <row r="103" spans="1:7" x14ac:dyDescent="0.25">
      <c r="A103" s="2" t="s">
        <v>327</v>
      </c>
      <c r="B103" s="3" t="s">
        <v>321</v>
      </c>
      <c r="C103" s="75" t="s">
        <v>328</v>
      </c>
      <c r="D103" s="75"/>
      <c r="E103" s="3" t="s">
        <v>68</v>
      </c>
      <c r="F103" s="23">
        <v>2</v>
      </c>
      <c r="G103" s="24">
        <v>0</v>
      </c>
    </row>
    <row r="104" spans="1:7" x14ac:dyDescent="0.25">
      <c r="A104" s="2" t="s">
        <v>329</v>
      </c>
      <c r="B104" s="3" t="s">
        <v>330</v>
      </c>
      <c r="C104" s="75" t="s">
        <v>331</v>
      </c>
      <c r="D104" s="75"/>
      <c r="E104" s="3" t="s">
        <v>68</v>
      </c>
      <c r="F104" s="23">
        <v>3</v>
      </c>
      <c r="G104" s="24">
        <v>0</v>
      </c>
    </row>
    <row r="105" spans="1:7" x14ac:dyDescent="0.25">
      <c r="A105" s="2" t="s">
        <v>53</v>
      </c>
      <c r="B105" s="3" t="s">
        <v>53</v>
      </c>
      <c r="C105" s="46" t="s">
        <v>71</v>
      </c>
      <c r="D105" s="105" t="s">
        <v>332</v>
      </c>
      <c r="E105" s="105"/>
      <c r="F105" s="47">
        <v>3</v>
      </c>
      <c r="G105" s="48" t="s">
        <v>53</v>
      </c>
    </row>
    <row r="106" spans="1:7" x14ac:dyDescent="0.25">
      <c r="A106" s="2" t="s">
        <v>333</v>
      </c>
      <c r="B106" s="3" t="s">
        <v>334</v>
      </c>
      <c r="C106" s="75" t="s">
        <v>335</v>
      </c>
      <c r="D106" s="75"/>
      <c r="E106" s="3" t="s">
        <v>68</v>
      </c>
      <c r="F106" s="23">
        <v>1</v>
      </c>
      <c r="G106" s="24">
        <v>0</v>
      </c>
    </row>
    <row r="107" spans="1:7" x14ac:dyDescent="0.25">
      <c r="A107" s="2" t="s">
        <v>336</v>
      </c>
      <c r="B107" s="3" t="s">
        <v>337</v>
      </c>
      <c r="C107" s="75" t="s">
        <v>338</v>
      </c>
      <c r="D107" s="75"/>
      <c r="E107" s="3" t="s">
        <v>68</v>
      </c>
      <c r="F107" s="23">
        <v>1</v>
      </c>
      <c r="G107" s="24">
        <v>0</v>
      </c>
    </row>
    <row r="108" spans="1:7" x14ac:dyDescent="0.25">
      <c r="A108" s="2" t="s">
        <v>339</v>
      </c>
      <c r="B108" s="3" t="s">
        <v>340</v>
      </c>
      <c r="C108" s="75" t="s">
        <v>341</v>
      </c>
      <c r="D108" s="75"/>
      <c r="E108" s="3" t="s">
        <v>68</v>
      </c>
      <c r="F108" s="23">
        <v>2</v>
      </c>
      <c r="G108" s="24">
        <v>0</v>
      </c>
    </row>
    <row r="109" spans="1:7" x14ac:dyDescent="0.25">
      <c r="A109" s="2" t="s">
        <v>342</v>
      </c>
      <c r="B109" s="3" t="s">
        <v>343</v>
      </c>
      <c r="C109" s="75" t="s">
        <v>344</v>
      </c>
      <c r="D109" s="75"/>
      <c r="E109" s="3" t="s">
        <v>68</v>
      </c>
      <c r="F109" s="23">
        <v>2</v>
      </c>
      <c r="G109" s="24">
        <v>0</v>
      </c>
    </row>
    <row r="110" spans="1:7" x14ac:dyDescent="0.25">
      <c r="A110" s="2" t="s">
        <v>345</v>
      </c>
      <c r="B110" s="3" t="s">
        <v>346</v>
      </c>
      <c r="C110" s="75" t="s">
        <v>347</v>
      </c>
      <c r="D110" s="75"/>
      <c r="E110" s="3" t="s">
        <v>68</v>
      </c>
      <c r="F110" s="23">
        <v>1</v>
      </c>
      <c r="G110" s="24">
        <v>0</v>
      </c>
    </row>
    <row r="111" spans="1:7" x14ac:dyDescent="0.25">
      <c r="A111" s="2" t="s">
        <v>348</v>
      </c>
      <c r="B111" s="3" t="s">
        <v>349</v>
      </c>
      <c r="C111" s="75" t="s">
        <v>350</v>
      </c>
      <c r="D111" s="75"/>
      <c r="E111" s="3" t="s">
        <v>68</v>
      </c>
      <c r="F111" s="23">
        <v>2</v>
      </c>
      <c r="G111" s="24">
        <v>0</v>
      </c>
    </row>
    <row r="112" spans="1:7" x14ac:dyDescent="0.25">
      <c r="A112" s="2" t="s">
        <v>351</v>
      </c>
      <c r="B112" s="3" t="s">
        <v>352</v>
      </c>
      <c r="C112" s="75" t="s">
        <v>353</v>
      </c>
      <c r="D112" s="75"/>
      <c r="E112" s="3" t="s">
        <v>354</v>
      </c>
      <c r="F112" s="23">
        <v>40</v>
      </c>
      <c r="G112" s="24">
        <v>0</v>
      </c>
    </row>
    <row r="113" spans="1:7" x14ac:dyDescent="0.25">
      <c r="A113" s="2" t="s">
        <v>355</v>
      </c>
      <c r="B113" s="3" t="s">
        <v>356</v>
      </c>
      <c r="C113" s="75" t="s">
        <v>357</v>
      </c>
      <c r="D113" s="75"/>
      <c r="E113" s="3" t="s">
        <v>358</v>
      </c>
      <c r="F113" s="23">
        <v>1</v>
      </c>
      <c r="G113" s="24">
        <v>0</v>
      </c>
    </row>
    <row r="114" spans="1:7" x14ac:dyDescent="0.25">
      <c r="A114" s="2" t="s">
        <v>53</v>
      </c>
      <c r="B114" s="3" t="s">
        <v>53</v>
      </c>
      <c r="C114" s="46" t="s">
        <v>56</v>
      </c>
      <c r="D114" s="105" t="s">
        <v>359</v>
      </c>
      <c r="E114" s="105"/>
      <c r="F114" s="47">
        <v>1</v>
      </c>
      <c r="G114" s="48" t="s">
        <v>53</v>
      </c>
    </row>
    <row r="115" spans="1:7" x14ac:dyDescent="0.25">
      <c r="A115" s="45" t="s">
        <v>53</v>
      </c>
      <c r="B115" s="27" t="s">
        <v>360</v>
      </c>
      <c r="C115" s="99" t="s">
        <v>361</v>
      </c>
      <c r="D115" s="99"/>
      <c r="E115" s="27" t="s">
        <v>53</v>
      </c>
      <c r="F115" s="8" t="s">
        <v>53</v>
      </c>
      <c r="G115" s="29" t="s">
        <v>53</v>
      </c>
    </row>
    <row r="116" spans="1:7" x14ac:dyDescent="0.25">
      <c r="A116" s="2" t="s">
        <v>362</v>
      </c>
      <c r="B116" s="3" t="s">
        <v>363</v>
      </c>
      <c r="C116" s="75" t="s">
        <v>364</v>
      </c>
      <c r="D116" s="75"/>
      <c r="E116" s="3" t="s">
        <v>102</v>
      </c>
      <c r="F116" s="23">
        <v>12</v>
      </c>
      <c r="G116" s="24">
        <v>0</v>
      </c>
    </row>
    <row r="117" spans="1:7" x14ac:dyDescent="0.25">
      <c r="A117" s="2" t="s">
        <v>366</v>
      </c>
      <c r="B117" s="3" t="s">
        <v>367</v>
      </c>
      <c r="C117" s="75" t="s">
        <v>368</v>
      </c>
      <c r="D117" s="75"/>
      <c r="E117" s="3" t="s">
        <v>102</v>
      </c>
      <c r="F117" s="23">
        <v>12</v>
      </c>
      <c r="G117" s="24">
        <v>0</v>
      </c>
    </row>
    <row r="118" spans="1:7" x14ac:dyDescent="0.25">
      <c r="A118" s="2" t="s">
        <v>369</v>
      </c>
      <c r="B118" s="3" t="s">
        <v>370</v>
      </c>
      <c r="C118" s="75" t="s">
        <v>371</v>
      </c>
      <c r="D118" s="75"/>
      <c r="E118" s="3" t="s">
        <v>102</v>
      </c>
      <c r="F118" s="23">
        <v>6</v>
      </c>
      <c r="G118" s="24">
        <v>0</v>
      </c>
    </row>
    <row r="119" spans="1:7" x14ac:dyDescent="0.25">
      <c r="A119" s="2" t="s">
        <v>372</v>
      </c>
      <c r="B119" s="3" t="s">
        <v>373</v>
      </c>
      <c r="C119" s="75" t="s">
        <v>374</v>
      </c>
      <c r="D119" s="75"/>
      <c r="E119" s="3" t="s">
        <v>102</v>
      </c>
      <c r="F119" s="23">
        <v>6</v>
      </c>
      <c r="G119" s="24">
        <v>0</v>
      </c>
    </row>
    <row r="120" spans="1:7" x14ac:dyDescent="0.25">
      <c r="A120" s="2" t="s">
        <v>375</v>
      </c>
      <c r="B120" s="3" t="s">
        <v>376</v>
      </c>
      <c r="C120" s="75" t="s">
        <v>377</v>
      </c>
      <c r="D120" s="75"/>
      <c r="E120" s="3" t="s">
        <v>68</v>
      </c>
      <c r="F120" s="23">
        <v>2</v>
      </c>
      <c r="G120" s="24">
        <v>0</v>
      </c>
    </row>
    <row r="121" spans="1:7" x14ac:dyDescent="0.25">
      <c r="A121" s="2" t="s">
        <v>378</v>
      </c>
      <c r="B121" s="3" t="s">
        <v>379</v>
      </c>
      <c r="C121" s="75" t="s">
        <v>380</v>
      </c>
      <c r="D121" s="75"/>
      <c r="E121" s="3" t="s">
        <v>68</v>
      </c>
      <c r="F121" s="23">
        <v>8</v>
      </c>
      <c r="G121" s="24">
        <v>0</v>
      </c>
    </row>
    <row r="122" spans="1:7" x14ac:dyDescent="0.25">
      <c r="A122" s="2" t="s">
        <v>381</v>
      </c>
      <c r="B122" s="3" t="s">
        <v>382</v>
      </c>
      <c r="C122" s="75" t="s">
        <v>383</v>
      </c>
      <c r="D122" s="75"/>
      <c r="E122" s="3" t="s">
        <v>68</v>
      </c>
      <c r="F122" s="23">
        <v>6</v>
      </c>
      <c r="G122" s="24">
        <v>0</v>
      </c>
    </row>
    <row r="123" spans="1:7" x14ac:dyDescent="0.25">
      <c r="A123" s="2" t="s">
        <v>384</v>
      </c>
      <c r="B123" s="3" t="s">
        <v>385</v>
      </c>
      <c r="C123" s="75" t="s">
        <v>386</v>
      </c>
      <c r="D123" s="75"/>
      <c r="E123" s="3" t="s">
        <v>68</v>
      </c>
      <c r="F123" s="23">
        <v>1</v>
      </c>
      <c r="G123" s="24">
        <v>0</v>
      </c>
    </row>
    <row r="124" spans="1:7" x14ac:dyDescent="0.25">
      <c r="A124" s="45" t="s">
        <v>53</v>
      </c>
      <c r="B124" s="27" t="s">
        <v>387</v>
      </c>
      <c r="C124" s="99" t="s">
        <v>388</v>
      </c>
      <c r="D124" s="99"/>
      <c r="E124" s="27" t="s">
        <v>53</v>
      </c>
      <c r="F124" s="8" t="s">
        <v>53</v>
      </c>
      <c r="G124" s="29" t="s">
        <v>53</v>
      </c>
    </row>
    <row r="125" spans="1:7" x14ac:dyDescent="0.25">
      <c r="A125" s="2" t="s">
        <v>389</v>
      </c>
      <c r="B125" s="3" t="s">
        <v>390</v>
      </c>
      <c r="C125" s="75" t="s">
        <v>391</v>
      </c>
      <c r="D125" s="75"/>
      <c r="E125" s="3" t="s">
        <v>68</v>
      </c>
      <c r="F125" s="23">
        <v>40</v>
      </c>
      <c r="G125" s="24">
        <v>0</v>
      </c>
    </row>
    <row r="126" spans="1:7" x14ac:dyDescent="0.25">
      <c r="A126" s="2" t="s">
        <v>393</v>
      </c>
      <c r="B126" s="3" t="s">
        <v>394</v>
      </c>
      <c r="C126" s="75" t="s">
        <v>395</v>
      </c>
      <c r="D126" s="75"/>
      <c r="E126" s="3" t="s">
        <v>68</v>
      </c>
      <c r="F126" s="23">
        <v>4</v>
      </c>
      <c r="G126" s="24">
        <v>0</v>
      </c>
    </row>
    <row r="127" spans="1:7" x14ac:dyDescent="0.25">
      <c r="A127" s="2" t="s">
        <v>396</v>
      </c>
      <c r="B127" s="3" t="s">
        <v>397</v>
      </c>
      <c r="C127" s="75" t="s">
        <v>398</v>
      </c>
      <c r="D127" s="75"/>
      <c r="E127" s="3" t="s">
        <v>68</v>
      </c>
      <c r="F127" s="23">
        <v>4</v>
      </c>
      <c r="G127" s="24">
        <v>0</v>
      </c>
    </row>
    <row r="128" spans="1:7" x14ac:dyDescent="0.25">
      <c r="A128" s="2" t="s">
        <v>399</v>
      </c>
      <c r="B128" s="3" t="s">
        <v>400</v>
      </c>
      <c r="C128" s="75" t="s">
        <v>401</v>
      </c>
      <c r="D128" s="75"/>
      <c r="E128" s="3" t="s">
        <v>68</v>
      </c>
      <c r="F128" s="23">
        <v>6</v>
      </c>
      <c r="G128" s="24">
        <v>0</v>
      </c>
    </row>
    <row r="129" spans="1:7" x14ac:dyDescent="0.25">
      <c r="A129" s="2" t="s">
        <v>402</v>
      </c>
      <c r="B129" s="3" t="s">
        <v>403</v>
      </c>
      <c r="C129" s="75" t="s">
        <v>404</v>
      </c>
      <c r="D129" s="75"/>
      <c r="E129" s="3" t="s">
        <v>68</v>
      </c>
      <c r="F129" s="23">
        <v>24</v>
      </c>
      <c r="G129" s="24">
        <v>0</v>
      </c>
    </row>
    <row r="130" spans="1:7" x14ac:dyDescent="0.25">
      <c r="A130" s="2" t="s">
        <v>405</v>
      </c>
      <c r="B130" s="3" t="s">
        <v>406</v>
      </c>
      <c r="C130" s="75" t="s">
        <v>407</v>
      </c>
      <c r="D130" s="75"/>
      <c r="E130" s="3" t="s">
        <v>68</v>
      </c>
      <c r="F130" s="23">
        <v>24</v>
      </c>
      <c r="G130" s="24">
        <v>0</v>
      </c>
    </row>
    <row r="131" spans="1:7" x14ac:dyDescent="0.25">
      <c r="A131" s="2" t="s">
        <v>408</v>
      </c>
      <c r="B131" s="3" t="s">
        <v>409</v>
      </c>
      <c r="C131" s="75" t="s">
        <v>410</v>
      </c>
      <c r="D131" s="75"/>
      <c r="E131" s="3" t="s">
        <v>68</v>
      </c>
      <c r="F131" s="23">
        <v>4</v>
      </c>
      <c r="G131" s="24">
        <v>0</v>
      </c>
    </row>
    <row r="132" spans="1:7" x14ac:dyDescent="0.25">
      <c r="A132" s="2" t="s">
        <v>411</v>
      </c>
      <c r="B132" s="3" t="s">
        <v>412</v>
      </c>
      <c r="C132" s="75" t="s">
        <v>413</v>
      </c>
      <c r="D132" s="75"/>
      <c r="E132" s="3" t="s">
        <v>68</v>
      </c>
      <c r="F132" s="23">
        <v>2</v>
      </c>
      <c r="G132" s="24">
        <v>0</v>
      </c>
    </row>
    <row r="133" spans="1:7" x14ac:dyDescent="0.25">
      <c r="A133" s="2" t="s">
        <v>414</v>
      </c>
      <c r="B133" s="3" t="s">
        <v>415</v>
      </c>
      <c r="C133" s="75" t="s">
        <v>416</v>
      </c>
      <c r="D133" s="75"/>
      <c r="E133" s="3" t="s">
        <v>68</v>
      </c>
      <c r="F133" s="23">
        <v>12</v>
      </c>
      <c r="G133" s="24">
        <v>0</v>
      </c>
    </row>
    <row r="134" spans="1:7" x14ac:dyDescent="0.25">
      <c r="A134" s="2" t="s">
        <v>417</v>
      </c>
      <c r="B134" s="3" t="s">
        <v>418</v>
      </c>
      <c r="C134" s="75" t="s">
        <v>419</v>
      </c>
      <c r="D134" s="75"/>
      <c r="E134" s="3" t="s">
        <v>68</v>
      </c>
      <c r="F134" s="23">
        <v>16</v>
      </c>
      <c r="G134" s="24">
        <v>0</v>
      </c>
    </row>
    <row r="135" spans="1:7" x14ac:dyDescent="0.25">
      <c r="A135" s="2" t="s">
        <v>420</v>
      </c>
      <c r="B135" s="3" t="s">
        <v>421</v>
      </c>
      <c r="C135" s="75" t="s">
        <v>422</v>
      </c>
      <c r="D135" s="75"/>
      <c r="E135" s="3" t="s">
        <v>68</v>
      </c>
      <c r="F135" s="23">
        <v>4</v>
      </c>
      <c r="G135" s="24">
        <v>0</v>
      </c>
    </row>
    <row r="136" spans="1:7" x14ac:dyDescent="0.25">
      <c r="A136" s="2" t="s">
        <v>423</v>
      </c>
      <c r="B136" s="3" t="s">
        <v>424</v>
      </c>
      <c r="C136" s="75" t="s">
        <v>425</v>
      </c>
      <c r="D136" s="75"/>
      <c r="E136" s="3" t="s">
        <v>68</v>
      </c>
      <c r="F136" s="23">
        <v>10</v>
      </c>
      <c r="G136" s="24">
        <v>0</v>
      </c>
    </row>
    <row r="137" spans="1:7" x14ac:dyDescent="0.25">
      <c r="A137" s="2" t="s">
        <v>426</v>
      </c>
      <c r="B137" s="3" t="s">
        <v>427</v>
      </c>
      <c r="C137" s="75" t="s">
        <v>428</v>
      </c>
      <c r="D137" s="75"/>
      <c r="E137" s="3" t="s">
        <v>68</v>
      </c>
      <c r="F137" s="23">
        <v>14</v>
      </c>
      <c r="G137" s="24">
        <v>0</v>
      </c>
    </row>
    <row r="138" spans="1:7" x14ac:dyDescent="0.25">
      <c r="A138" s="2" t="s">
        <v>429</v>
      </c>
      <c r="B138" s="3" t="s">
        <v>430</v>
      </c>
      <c r="C138" s="75" t="s">
        <v>431</v>
      </c>
      <c r="D138" s="75"/>
      <c r="E138" s="3" t="s">
        <v>68</v>
      </c>
      <c r="F138" s="23">
        <v>7</v>
      </c>
      <c r="G138" s="24">
        <v>0</v>
      </c>
    </row>
    <row r="139" spans="1:7" x14ac:dyDescent="0.25">
      <c r="A139" s="2" t="s">
        <v>432</v>
      </c>
      <c r="B139" s="3" t="s">
        <v>433</v>
      </c>
      <c r="C139" s="75" t="s">
        <v>434</v>
      </c>
      <c r="D139" s="75"/>
      <c r="E139" s="3" t="s">
        <v>68</v>
      </c>
      <c r="F139" s="23">
        <v>4</v>
      </c>
      <c r="G139" s="24">
        <v>0</v>
      </c>
    </row>
    <row r="140" spans="1:7" x14ac:dyDescent="0.25">
      <c r="A140" s="2" t="s">
        <v>435</v>
      </c>
      <c r="B140" s="3" t="s">
        <v>436</v>
      </c>
      <c r="C140" s="75" t="s">
        <v>437</v>
      </c>
      <c r="D140" s="75"/>
      <c r="E140" s="3" t="s">
        <v>68</v>
      </c>
      <c r="F140" s="23">
        <v>1</v>
      </c>
      <c r="G140" s="24">
        <v>0</v>
      </c>
    </row>
    <row r="141" spans="1:7" x14ac:dyDescent="0.25">
      <c r="A141" s="2" t="s">
        <v>438</v>
      </c>
      <c r="B141" s="3" t="s">
        <v>439</v>
      </c>
      <c r="C141" s="75" t="s">
        <v>440</v>
      </c>
      <c r="D141" s="75"/>
      <c r="E141" s="3" t="s">
        <v>68</v>
      </c>
      <c r="F141" s="23">
        <v>8</v>
      </c>
      <c r="G141" s="24">
        <v>0</v>
      </c>
    </row>
    <row r="142" spans="1:7" x14ac:dyDescent="0.25">
      <c r="A142" s="2" t="s">
        <v>441</v>
      </c>
      <c r="B142" s="3" t="s">
        <v>442</v>
      </c>
      <c r="C142" s="75" t="s">
        <v>443</v>
      </c>
      <c r="D142" s="75"/>
      <c r="E142" s="3" t="s">
        <v>68</v>
      </c>
      <c r="F142" s="23">
        <v>3</v>
      </c>
      <c r="G142" s="24">
        <v>0</v>
      </c>
    </row>
    <row r="143" spans="1:7" x14ac:dyDescent="0.25">
      <c r="A143" s="2" t="s">
        <v>444</v>
      </c>
      <c r="B143" s="3" t="s">
        <v>445</v>
      </c>
      <c r="C143" s="75" t="s">
        <v>446</v>
      </c>
      <c r="D143" s="75"/>
      <c r="E143" s="3" t="s">
        <v>68</v>
      </c>
      <c r="F143" s="23">
        <v>3</v>
      </c>
      <c r="G143" s="24">
        <v>0</v>
      </c>
    </row>
    <row r="144" spans="1:7" x14ac:dyDescent="0.25">
      <c r="A144" s="2" t="s">
        <v>447</v>
      </c>
      <c r="B144" s="3" t="s">
        <v>448</v>
      </c>
      <c r="C144" s="75" t="s">
        <v>449</v>
      </c>
      <c r="D144" s="75"/>
      <c r="E144" s="3" t="s">
        <v>68</v>
      </c>
      <c r="F144" s="23">
        <v>3</v>
      </c>
      <c r="G144" s="24">
        <v>0</v>
      </c>
    </row>
    <row r="145" spans="1:7" x14ac:dyDescent="0.25">
      <c r="A145" s="2" t="s">
        <v>450</v>
      </c>
      <c r="B145" s="3" t="s">
        <v>451</v>
      </c>
      <c r="C145" s="75" t="s">
        <v>452</v>
      </c>
      <c r="D145" s="75"/>
      <c r="E145" s="3" t="s">
        <v>68</v>
      </c>
      <c r="F145" s="23">
        <v>2</v>
      </c>
      <c r="G145" s="24">
        <v>0</v>
      </c>
    </row>
    <row r="146" spans="1:7" x14ac:dyDescent="0.25">
      <c r="A146" s="2" t="s">
        <v>453</v>
      </c>
      <c r="B146" s="3" t="s">
        <v>454</v>
      </c>
      <c r="C146" s="75" t="s">
        <v>455</v>
      </c>
      <c r="D146" s="75"/>
      <c r="E146" s="3" t="s">
        <v>68</v>
      </c>
      <c r="F146" s="23">
        <v>1</v>
      </c>
      <c r="G146" s="24">
        <v>0</v>
      </c>
    </row>
    <row r="147" spans="1:7" x14ac:dyDescent="0.25">
      <c r="A147" s="2" t="s">
        <v>456</v>
      </c>
      <c r="B147" s="3" t="s">
        <v>457</v>
      </c>
      <c r="C147" s="75" t="s">
        <v>458</v>
      </c>
      <c r="D147" s="75"/>
      <c r="E147" s="3" t="s">
        <v>68</v>
      </c>
      <c r="F147" s="23">
        <v>18</v>
      </c>
      <c r="G147" s="24">
        <v>0</v>
      </c>
    </row>
    <row r="148" spans="1:7" x14ac:dyDescent="0.25">
      <c r="A148" s="2" t="s">
        <v>459</v>
      </c>
      <c r="B148" s="3" t="s">
        <v>460</v>
      </c>
      <c r="C148" s="75" t="s">
        <v>461</v>
      </c>
      <c r="D148" s="75"/>
      <c r="E148" s="3" t="s">
        <v>68</v>
      </c>
      <c r="F148" s="23">
        <v>2</v>
      </c>
      <c r="G148" s="24">
        <v>0</v>
      </c>
    </row>
    <row r="149" spans="1:7" x14ac:dyDescent="0.25">
      <c r="A149" s="2" t="s">
        <v>462</v>
      </c>
      <c r="B149" s="3" t="s">
        <v>463</v>
      </c>
      <c r="C149" s="75" t="s">
        <v>464</v>
      </c>
      <c r="D149" s="75"/>
      <c r="E149" s="3" t="s">
        <v>68</v>
      </c>
      <c r="F149" s="23">
        <v>8</v>
      </c>
      <c r="G149" s="24">
        <v>0</v>
      </c>
    </row>
    <row r="150" spans="1:7" x14ac:dyDescent="0.25">
      <c r="A150" s="2" t="s">
        <v>465</v>
      </c>
      <c r="B150" s="3" t="s">
        <v>466</v>
      </c>
      <c r="C150" s="75" t="s">
        <v>467</v>
      </c>
      <c r="D150" s="75"/>
      <c r="E150" s="3" t="s">
        <v>68</v>
      </c>
      <c r="F150" s="23">
        <v>4</v>
      </c>
      <c r="G150" s="24">
        <v>0</v>
      </c>
    </row>
    <row r="151" spans="1:7" x14ac:dyDescent="0.25">
      <c r="A151" s="2" t="s">
        <v>468</v>
      </c>
      <c r="B151" s="3" t="s">
        <v>469</v>
      </c>
      <c r="C151" s="75" t="s">
        <v>470</v>
      </c>
      <c r="D151" s="75"/>
      <c r="E151" s="3" t="s">
        <v>68</v>
      </c>
      <c r="F151" s="23">
        <v>6</v>
      </c>
      <c r="G151" s="24">
        <v>0</v>
      </c>
    </row>
    <row r="152" spans="1:7" x14ac:dyDescent="0.25">
      <c r="A152" s="2" t="s">
        <v>471</v>
      </c>
      <c r="B152" s="3" t="s">
        <v>472</v>
      </c>
      <c r="C152" s="75" t="s">
        <v>473</v>
      </c>
      <c r="D152" s="75"/>
      <c r="E152" s="3" t="s">
        <v>68</v>
      </c>
      <c r="F152" s="23">
        <v>1</v>
      </c>
      <c r="G152" s="24">
        <v>0</v>
      </c>
    </row>
    <row r="153" spans="1:7" x14ac:dyDescent="0.25">
      <c r="A153" s="2" t="s">
        <v>474</v>
      </c>
      <c r="B153" s="3" t="s">
        <v>475</v>
      </c>
      <c r="C153" s="75" t="s">
        <v>476</v>
      </c>
      <c r="D153" s="75"/>
      <c r="E153" s="3" t="s">
        <v>68</v>
      </c>
      <c r="F153" s="23">
        <v>12</v>
      </c>
      <c r="G153" s="24">
        <v>0</v>
      </c>
    </row>
    <row r="154" spans="1:7" x14ac:dyDescent="0.25">
      <c r="A154" s="2" t="s">
        <v>477</v>
      </c>
      <c r="B154" s="3" t="s">
        <v>478</v>
      </c>
      <c r="C154" s="75" t="s">
        <v>479</v>
      </c>
      <c r="D154" s="75"/>
      <c r="E154" s="3" t="s">
        <v>68</v>
      </c>
      <c r="F154" s="23">
        <v>1</v>
      </c>
      <c r="G154" s="24">
        <v>0</v>
      </c>
    </row>
    <row r="155" spans="1:7" x14ac:dyDescent="0.25">
      <c r="A155" s="2" t="s">
        <v>480</v>
      </c>
      <c r="B155" s="3" t="s">
        <v>478</v>
      </c>
      <c r="C155" s="75" t="s">
        <v>481</v>
      </c>
      <c r="D155" s="75"/>
      <c r="E155" s="3" t="s">
        <v>68</v>
      </c>
      <c r="F155" s="23">
        <v>3</v>
      </c>
      <c r="G155" s="24">
        <v>0</v>
      </c>
    </row>
    <row r="156" spans="1:7" x14ac:dyDescent="0.25">
      <c r="A156" s="2" t="s">
        <v>482</v>
      </c>
      <c r="B156" s="3" t="s">
        <v>478</v>
      </c>
      <c r="C156" s="75" t="s">
        <v>483</v>
      </c>
      <c r="D156" s="75"/>
      <c r="E156" s="3" t="s">
        <v>68</v>
      </c>
      <c r="F156" s="23">
        <v>1</v>
      </c>
      <c r="G156" s="24">
        <v>0</v>
      </c>
    </row>
    <row r="157" spans="1:7" x14ac:dyDescent="0.25">
      <c r="A157" s="2" t="s">
        <v>484</v>
      </c>
      <c r="B157" s="3" t="s">
        <v>478</v>
      </c>
      <c r="C157" s="75" t="s">
        <v>485</v>
      </c>
      <c r="D157" s="75"/>
      <c r="E157" s="3" t="s">
        <v>68</v>
      </c>
      <c r="F157" s="23">
        <v>1</v>
      </c>
      <c r="G157" s="24">
        <v>0</v>
      </c>
    </row>
    <row r="158" spans="1:7" x14ac:dyDescent="0.25">
      <c r="A158" s="2" t="s">
        <v>486</v>
      </c>
      <c r="B158" s="3" t="s">
        <v>487</v>
      </c>
      <c r="C158" s="75" t="s">
        <v>488</v>
      </c>
      <c r="D158" s="75"/>
      <c r="E158" s="3" t="s">
        <v>68</v>
      </c>
      <c r="F158" s="23">
        <v>1</v>
      </c>
      <c r="G158" s="24">
        <v>0</v>
      </c>
    </row>
    <row r="159" spans="1:7" x14ac:dyDescent="0.25">
      <c r="A159" s="2" t="s">
        <v>489</v>
      </c>
      <c r="B159" s="3" t="s">
        <v>490</v>
      </c>
      <c r="C159" s="75" t="s">
        <v>491</v>
      </c>
      <c r="D159" s="75"/>
      <c r="E159" s="3" t="s">
        <v>68</v>
      </c>
      <c r="F159" s="23">
        <v>1</v>
      </c>
      <c r="G159" s="24">
        <v>0</v>
      </c>
    </row>
    <row r="160" spans="1:7" x14ac:dyDescent="0.25">
      <c r="A160" s="2" t="s">
        <v>492</v>
      </c>
      <c r="B160" s="3" t="s">
        <v>493</v>
      </c>
      <c r="C160" s="75" t="s">
        <v>494</v>
      </c>
      <c r="D160" s="75"/>
      <c r="E160" s="3" t="s">
        <v>68</v>
      </c>
      <c r="F160" s="23">
        <v>1</v>
      </c>
      <c r="G160" s="24">
        <v>0</v>
      </c>
    </row>
    <row r="161" spans="1:7" x14ac:dyDescent="0.25">
      <c r="A161" s="2" t="s">
        <v>495</v>
      </c>
      <c r="B161" s="3" t="s">
        <v>496</v>
      </c>
      <c r="C161" s="75" t="s">
        <v>497</v>
      </c>
      <c r="D161" s="75"/>
      <c r="E161" s="3" t="s">
        <v>68</v>
      </c>
      <c r="F161" s="23">
        <v>1</v>
      </c>
      <c r="G161" s="24">
        <v>0</v>
      </c>
    </row>
    <row r="162" spans="1:7" x14ac:dyDescent="0.25">
      <c r="A162" s="2" t="s">
        <v>498</v>
      </c>
      <c r="B162" s="3" t="s">
        <v>499</v>
      </c>
      <c r="C162" s="75" t="s">
        <v>500</v>
      </c>
      <c r="D162" s="75"/>
      <c r="E162" s="3" t="s">
        <v>68</v>
      </c>
      <c r="F162" s="23">
        <v>2</v>
      </c>
      <c r="G162" s="24">
        <v>0</v>
      </c>
    </row>
    <row r="163" spans="1:7" x14ac:dyDescent="0.25">
      <c r="A163" s="2" t="s">
        <v>501</v>
      </c>
      <c r="B163" s="3" t="s">
        <v>502</v>
      </c>
      <c r="C163" s="75" t="s">
        <v>503</v>
      </c>
      <c r="D163" s="75"/>
      <c r="E163" s="3" t="s">
        <v>68</v>
      </c>
      <c r="F163" s="23">
        <v>3</v>
      </c>
      <c r="G163" s="24">
        <v>0</v>
      </c>
    </row>
    <row r="164" spans="1:7" x14ac:dyDescent="0.25">
      <c r="A164" s="2" t="s">
        <v>504</v>
      </c>
      <c r="B164" s="3" t="s">
        <v>502</v>
      </c>
      <c r="C164" s="75" t="s">
        <v>505</v>
      </c>
      <c r="D164" s="75"/>
      <c r="E164" s="3" t="s">
        <v>68</v>
      </c>
      <c r="F164" s="23">
        <v>1</v>
      </c>
      <c r="G164" s="24">
        <v>0</v>
      </c>
    </row>
    <row r="165" spans="1:7" x14ac:dyDescent="0.25">
      <c r="A165" s="2" t="s">
        <v>506</v>
      </c>
      <c r="B165" s="3" t="s">
        <v>507</v>
      </c>
      <c r="C165" s="75" t="s">
        <v>508</v>
      </c>
      <c r="D165" s="75"/>
      <c r="E165" s="3" t="s">
        <v>68</v>
      </c>
      <c r="F165" s="23">
        <v>1</v>
      </c>
      <c r="G165" s="24">
        <v>0</v>
      </c>
    </row>
    <row r="166" spans="1:7" x14ac:dyDescent="0.25">
      <c r="A166" s="2" t="s">
        <v>509</v>
      </c>
      <c r="B166" s="3" t="s">
        <v>510</v>
      </c>
      <c r="C166" s="75" t="s">
        <v>511</v>
      </c>
      <c r="D166" s="75"/>
      <c r="E166" s="3" t="s">
        <v>68</v>
      </c>
      <c r="F166" s="23">
        <v>1</v>
      </c>
      <c r="G166" s="24">
        <v>0</v>
      </c>
    </row>
    <row r="167" spans="1:7" x14ac:dyDescent="0.25">
      <c r="A167" s="45" t="s">
        <v>53</v>
      </c>
      <c r="B167" s="27" t="s">
        <v>512</v>
      </c>
      <c r="C167" s="99" t="s">
        <v>513</v>
      </c>
      <c r="D167" s="99"/>
      <c r="E167" s="27" t="s">
        <v>53</v>
      </c>
      <c r="F167" s="8" t="s">
        <v>53</v>
      </c>
      <c r="G167" s="29" t="s">
        <v>53</v>
      </c>
    </row>
    <row r="168" spans="1:7" x14ac:dyDescent="0.25">
      <c r="A168" s="2" t="s">
        <v>514</v>
      </c>
      <c r="B168" s="3" t="s">
        <v>515</v>
      </c>
      <c r="C168" s="75" t="s">
        <v>516</v>
      </c>
      <c r="D168" s="75"/>
      <c r="E168" s="3" t="s">
        <v>88</v>
      </c>
      <c r="F168" s="23">
        <v>400</v>
      </c>
      <c r="G168" s="24">
        <v>0</v>
      </c>
    </row>
    <row r="169" spans="1:7" x14ac:dyDescent="0.25">
      <c r="A169" s="2" t="s">
        <v>518</v>
      </c>
      <c r="B169" s="3" t="s">
        <v>519</v>
      </c>
      <c r="C169" s="75" t="s">
        <v>520</v>
      </c>
      <c r="D169" s="75"/>
      <c r="E169" s="3" t="s">
        <v>88</v>
      </c>
      <c r="F169" s="23">
        <v>1200</v>
      </c>
      <c r="G169" s="24">
        <v>0</v>
      </c>
    </row>
    <row r="170" spans="1:7" x14ac:dyDescent="0.25">
      <c r="A170" s="2" t="s">
        <v>53</v>
      </c>
      <c r="B170" s="3" t="s">
        <v>53</v>
      </c>
      <c r="C170" s="46" t="s">
        <v>521</v>
      </c>
      <c r="D170" s="105" t="s">
        <v>522</v>
      </c>
      <c r="E170" s="105"/>
      <c r="F170" s="47">
        <v>1200</v>
      </c>
      <c r="G170" s="48" t="s">
        <v>53</v>
      </c>
    </row>
    <row r="171" spans="1:7" x14ac:dyDescent="0.25">
      <c r="A171" s="45" t="s">
        <v>53</v>
      </c>
      <c r="B171" s="27" t="s">
        <v>523</v>
      </c>
      <c r="C171" s="99" t="s">
        <v>524</v>
      </c>
      <c r="D171" s="99"/>
      <c r="E171" s="27" t="s">
        <v>53</v>
      </c>
      <c r="F171" s="8" t="s">
        <v>53</v>
      </c>
      <c r="G171" s="29" t="s">
        <v>53</v>
      </c>
    </row>
    <row r="172" spans="1:7" x14ac:dyDescent="0.25">
      <c r="A172" s="2" t="s">
        <v>525</v>
      </c>
      <c r="B172" s="3" t="s">
        <v>526</v>
      </c>
      <c r="C172" s="75" t="s">
        <v>527</v>
      </c>
      <c r="D172" s="75"/>
      <c r="E172" s="3" t="s">
        <v>528</v>
      </c>
      <c r="F172" s="23">
        <v>8</v>
      </c>
      <c r="G172" s="24">
        <v>0</v>
      </c>
    </row>
    <row r="173" spans="1:7" x14ac:dyDescent="0.25">
      <c r="A173" s="2" t="s">
        <v>53</v>
      </c>
      <c r="B173" s="3" t="s">
        <v>53</v>
      </c>
      <c r="C173" s="46" t="s">
        <v>99</v>
      </c>
      <c r="D173" s="105" t="s">
        <v>531</v>
      </c>
      <c r="E173" s="105"/>
      <c r="F173" s="47">
        <v>8</v>
      </c>
      <c r="G173" s="48" t="s">
        <v>53</v>
      </c>
    </row>
    <row r="174" spans="1:7" x14ac:dyDescent="0.25">
      <c r="A174" s="45" t="s">
        <v>53</v>
      </c>
      <c r="B174" s="27" t="s">
        <v>532</v>
      </c>
      <c r="C174" s="99" t="s">
        <v>533</v>
      </c>
      <c r="D174" s="99"/>
      <c r="E174" s="27" t="s">
        <v>53</v>
      </c>
      <c r="F174" s="8" t="s">
        <v>53</v>
      </c>
      <c r="G174" s="29" t="s">
        <v>53</v>
      </c>
    </row>
    <row r="175" spans="1:7" x14ac:dyDescent="0.25">
      <c r="A175" s="2" t="s">
        <v>534</v>
      </c>
      <c r="B175" s="3" t="s">
        <v>535</v>
      </c>
      <c r="C175" s="75" t="s">
        <v>536</v>
      </c>
      <c r="D175" s="75"/>
      <c r="E175" s="3" t="s">
        <v>68</v>
      </c>
      <c r="F175" s="23">
        <v>16</v>
      </c>
      <c r="G175" s="24">
        <v>0</v>
      </c>
    </row>
    <row r="176" spans="1:7" x14ac:dyDescent="0.25">
      <c r="A176" s="2" t="s">
        <v>539</v>
      </c>
      <c r="B176" s="3" t="s">
        <v>540</v>
      </c>
      <c r="C176" s="75" t="s">
        <v>541</v>
      </c>
      <c r="D176" s="75"/>
      <c r="E176" s="3" t="s">
        <v>102</v>
      </c>
      <c r="F176" s="23">
        <v>21</v>
      </c>
      <c r="G176" s="24">
        <v>0</v>
      </c>
    </row>
    <row r="177" spans="1:7" x14ac:dyDescent="0.25">
      <c r="A177" s="2" t="s">
        <v>542</v>
      </c>
      <c r="B177" s="3" t="s">
        <v>543</v>
      </c>
      <c r="C177" s="75" t="s">
        <v>544</v>
      </c>
      <c r="D177" s="75"/>
      <c r="E177" s="3" t="s">
        <v>102</v>
      </c>
      <c r="F177" s="23">
        <v>26</v>
      </c>
      <c r="G177" s="24">
        <v>0</v>
      </c>
    </row>
    <row r="178" spans="1:7" x14ac:dyDescent="0.25">
      <c r="A178" s="2" t="s">
        <v>545</v>
      </c>
      <c r="B178" s="3" t="s">
        <v>546</v>
      </c>
      <c r="C178" s="75" t="s">
        <v>547</v>
      </c>
      <c r="D178" s="75"/>
      <c r="E178" s="3" t="s">
        <v>102</v>
      </c>
      <c r="F178" s="23">
        <v>40</v>
      </c>
      <c r="G178" s="24">
        <v>0</v>
      </c>
    </row>
    <row r="179" spans="1:7" x14ac:dyDescent="0.25">
      <c r="A179" s="2" t="s">
        <v>548</v>
      </c>
      <c r="B179" s="3" t="s">
        <v>549</v>
      </c>
      <c r="C179" s="75" t="s">
        <v>550</v>
      </c>
      <c r="D179" s="75"/>
      <c r="E179" s="3" t="s">
        <v>88</v>
      </c>
      <c r="F179" s="23">
        <v>1</v>
      </c>
      <c r="G179" s="24">
        <v>0</v>
      </c>
    </row>
    <row r="180" spans="1:7" x14ac:dyDescent="0.25">
      <c r="A180" s="45" t="s">
        <v>53</v>
      </c>
      <c r="B180" s="27" t="s">
        <v>551</v>
      </c>
      <c r="C180" s="99" t="s">
        <v>552</v>
      </c>
      <c r="D180" s="99"/>
      <c r="E180" s="27" t="s">
        <v>53</v>
      </c>
      <c r="F180" s="8" t="s">
        <v>53</v>
      </c>
      <c r="G180" s="29" t="s">
        <v>53</v>
      </c>
    </row>
    <row r="181" spans="1:7" x14ac:dyDescent="0.25">
      <c r="A181" s="2" t="s">
        <v>553</v>
      </c>
      <c r="B181" s="3" t="s">
        <v>554</v>
      </c>
      <c r="C181" s="75" t="s">
        <v>555</v>
      </c>
      <c r="D181" s="75"/>
      <c r="E181" s="3" t="s">
        <v>88</v>
      </c>
      <c r="F181" s="23">
        <v>41</v>
      </c>
      <c r="G181" s="24">
        <v>0</v>
      </c>
    </row>
    <row r="182" spans="1:7" x14ac:dyDescent="0.25">
      <c r="A182" s="2" t="s">
        <v>557</v>
      </c>
      <c r="B182" s="3" t="s">
        <v>558</v>
      </c>
      <c r="C182" s="75" t="s">
        <v>559</v>
      </c>
      <c r="D182" s="75"/>
      <c r="E182" s="3" t="s">
        <v>88</v>
      </c>
      <c r="F182" s="23">
        <v>125.45</v>
      </c>
      <c r="G182" s="24">
        <v>0</v>
      </c>
    </row>
    <row r="183" spans="1:7" x14ac:dyDescent="0.25">
      <c r="A183" s="2" t="s">
        <v>53</v>
      </c>
      <c r="B183" s="3" t="s">
        <v>53</v>
      </c>
      <c r="C183" s="46" t="s">
        <v>91</v>
      </c>
      <c r="D183" s="105" t="s">
        <v>53</v>
      </c>
      <c r="E183" s="105"/>
      <c r="F183" s="47">
        <v>125.45</v>
      </c>
      <c r="G183" s="48" t="s">
        <v>53</v>
      </c>
    </row>
    <row r="184" spans="1:7" x14ac:dyDescent="0.25">
      <c r="A184" s="45" t="s">
        <v>53</v>
      </c>
      <c r="B184" s="27" t="s">
        <v>378</v>
      </c>
      <c r="C184" s="99" t="s">
        <v>560</v>
      </c>
      <c r="D184" s="99"/>
      <c r="E184" s="27" t="s">
        <v>53</v>
      </c>
      <c r="F184" s="8" t="s">
        <v>53</v>
      </c>
      <c r="G184" s="29" t="s">
        <v>53</v>
      </c>
    </row>
    <row r="185" spans="1:7" x14ac:dyDescent="0.25">
      <c r="A185" s="2" t="s">
        <v>561</v>
      </c>
      <c r="B185" s="3" t="s">
        <v>562</v>
      </c>
      <c r="C185" s="75" t="s">
        <v>563</v>
      </c>
      <c r="D185" s="75"/>
      <c r="E185" s="3" t="s">
        <v>528</v>
      </c>
      <c r="F185" s="23">
        <v>35</v>
      </c>
      <c r="G185" s="24">
        <v>0</v>
      </c>
    </row>
    <row r="186" spans="1:7" x14ac:dyDescent="0.25">
      <c r="A186" s="2" t="s">
        <v>566</v>
      </c>
      <c r="B186" s="3" t="s">
        <v>567</v>
      </c>
      <c r="C186" s="75" t="s">
        <v>568</v>
      </c>
      <c r="D186" s="75"/>
      <c r="E186" s="3" t="s">
        <v>102</v>
      </c>
      <c r="F186" s="23">
        <v>24</v>
      </c>
      <c r="G186" s="24">
        <v>0</v>
      </c>
    </row>
    <row r="187" spans="1:7" x14ac:dyDescent="0.25">
      <c r="A187" s="2" t="s">
        <v>569</v>
      </c>
      <c r="B187" s="3" t="s">
        <v>570</v>
      </c>
      <c r="C187" s="75" t="s">
        <v>571</v>
      </c>
      <c r="D187" s="75"/>
      <c r="E187" s="3" t="s">
        <v>68</v>
      </c>
      <c r="F187" s="23">
        <v>3</v>
      </c>
      <c r="G187" s="24">
        <v>0</v>
      </c>
    </row>
    <row r="188" spans="1:7" x14ac:dyDescent="0.25">
      <c r="A188" s="2" t="s">
        <v>572</v>
      </c>
      <c r="B188" s="3" t="s">
        <v>573</v>
      </c>
      <c r="C188" s="75" t="s">
        <v>574</v>
      </c>
      <c r="D188" s="75"/>
      <c r="E188" s="3" t="s">
        <v>68</v>
      </c>
      <c r="F188" s="23">
        <v>3</v>
      </c>
      <c r="G188" s="24">
        <v>0</v>
      </c>
    </row>
    <row r="189" spans="1:7" x14ac:dyDescent="0.25">
      <c r="A189" s="2" t="s">
        <v>575</v>
      </c>
      <c r="B189" s="3" t="s">
        <v>576</v>
      </c>
      <c r="C189" s="75" t="s">
        <v>577</v>
      </c>
      <c r="D189" s="75"/>
      <c r="E189" s="3" t="s">
        <v>68</v>
      </c>
      <c r="F189" s="23">
        <v>2</v>
      </c>
      <c r="G189" s="24">
        <v>0</v>
      </c>
    </row>
    <row r="190" spans="1:7" x14ac:dyDescent="0.25">
      <c r="A190" s="2" t="s">
        <v>578</v>
      </c>
      <c r="B190" s="3" t="s">
        <v>579</v>
      </c>
      <c r="C190" s="75" t="s">
        <v>580</v>
      </c>
      <c r="D190" s="75"/>
      <c r="E190" s="3" t="s">
        <v>68</v>
      </c>
      <c r="F190" s="23">
        <v>1</v>
      </c>
      <c r="G190" s="24">
        <v>0</v>
      </c>
    </row>
    <row r="191" spans="1:7" x14ac:dyDescent="0.25">
      <c r="A191" s="2" t="s">
        <v>581</v>
      </c>
      <c r="B191" s="3" t="s">
        <v>582</v>
      </c>
      <c r="C191" s="75" t="s">
        <v>583</v>
      </c>
      <c r="D191" s="75"/>
      <c r="E191" s="3" t="s">
        <v>68</v>
      </c>
      <c r="F191" s="23">
        <v>1</v>
      </c>
      <c r="G191" s="24">
        <v>0</v>
      </c>
    </row>
    <row r="192" spans="1:7" x14ac:dyDescent="0.25">
      <c r="A192" s="2" t="s">
        <v>584</v>
      </c>
      <c r="B192" s="3" t="s">
        <v>585</v>
      </c>
      <c r="C192" s="75" t="s">
        <v>586</v>
      </c>
      <c r="D192" s="75"/>
      <c r="E192" s="3" t="s">
        <v>68</v>
      </c>
      <c r="F192" s="23">
        <v>1</v>
      </c>
      <c r="G192" s="24">
        <v>0</v>
      </c>
    </row>
    <row r="193" spans="1:7" x14ac:dyDescent="0.25">
      <c r="A193" s="2" t="s">
        <v>587</v>
      </c>
      <c r="B193" s="3" t="s">
        <v>588</v>
      </c>
      <c r="C193" s="75" t="s">
        <v>589</v>
      </c>
      <c r="D193" s="75"/>
      <c r="E193" s="3" t="s">
        <v>68</v>
      </c>
      <c r="F193" s="23">
        <v>1</v>
      </c>
      <c r="G193" s="24">
        <v>0</v>
      </c>
    </row>
    <row r="194" spans="1:7" x14ac:dyDescent="0.25">
      <c r="A194" s="2" t="s">
        <v>590</v>
      </c>
      <c r="B194" s="3" t="s">
        <v>591</v>
      </c>
      <c r="C194" s="75" t="s">
        <v>592</v>
      </c>
      <c r="D194" s="75"/>
      <c r="E194" s="3" t="s">
        <v>68</v>
      </c>
      <c r="F194" s="23">
        <v>1</v>
      </c>
      <c r="G194" s="24">
        <v>0</v>
      </c>
    </row>
    <row r="195" spans="1:7" x14ac:dyDescent="0.25">
      <c r="A195" s="2" t="s">
        <v>593</v>
      </c>
      <c r="B195" s="3" t="s">
        <v>594</v>
      </c>
      <c r="C195" s="75" t="s">
        <v>595</v>
      </c>
      <c r="D195" s="75"/>
      <c r="E195" s="3" t="s">
        <v>68</v>
      </c>
      <c r="F195" s="23">
        <v>1</v>
      </c>
      <c r="G195" s="24">
        <v>0</v>
      </c>
    </row>
    <row r="196" spans="1:7" x14ac:dyDescent="0.25">
      <c r="A196" s="2" t="s">
        <v>596</v>
      </c>
      <c r="B196" s="3" t="s">
        <v>597</v>
      </c>
      <c r="C196" s="75" t="s">
        <v>598</v>
      </c>
      <c r="D196" s="75"/>
      <c r="E196" s="3" t="s">
        <v>68</v>
      </c>
      <c r="F196" s="23">
        <v>3</v>
      </c>
      <c r="G196" s="24">
        <v>0</v>
      </c>
    </row>
    <row r="197" spans="1:7" x14ac:dyDescent="0.25">
      <c r="A197" s="2" t="s">
        <v>599</v>
      </c>
      <c r="B197" s="3" t="s">
        <v>600</v>
      </c>
      <c r="C197" s="75" t="s">
        <v>601</v>
      </c>
      <c r="D197" s="75"/>
      <c r="E197" s="3" t="s">
        <v>102</v>
      </c>
      <c r="F197" s="23">
        <v>13</v>
      </c>
      <c r="G197" s="24">
        <v>0</v>
      </c>
    </row>
    <row r="198" spans="1:7" x14ac:dyDescent="0.25">
      <c r="A198" s="2" t="s">
        <v>602</v>
      </c>
      <c r="B198" s="3" t="s">
        <v>603</v>
      </c>
      <c r="C198" s="75" t="s">
        <v>604</v>
      </c>
      <c r="D198" s="75"/>
      <c r="E198" s="3" t="s">
        <v>68</v>
      </c>
      <c r="F198" s="23">
        <v>1</v>
      </c>
      <c r="G198" s="24">
        <v>0</v>
      </c>
    </row>
    <row r="199" spans="1:7" x14ac:dyDescent="0.25">
      <c r="A199" s="2" t="s">
        <v>605</v>
      </c>
      <c r="B199" s="3" t="s">
        <v>606</v>
      </c>
      <c r="C199" s="75" t="s">
        <v>607</v>
      </c>
      <c r="D199" s="75"/>
      <c r="E199" s="3" t="s">
        <v>68</v>
      </c>
      <c r="F199" s="23">
        <v>1</v>
      </c>
      <c r="G199" s="24">
        <v>0</v>
      </c>
    </row>
    <row r="200" spans="1:7" x14ac:dyDescent="0.25">
      <c r="A200" s="2" t="s">
        <v>608</v>
      </c>
      <c r="B200" s="3" t="s">
        <v>609</v>
      </c>
      <c r="C200" s="75" t="s">
        <v>610</v>
      </c>
      <c r="D200" s="75"/>
      <c r="E200" s="3" t="s">
        <v>68</v>
      </c>
      <c r="F200" s="23">
        <v>90</v>
      </c>
      <c r="G200" s="24">
        <v>0</v>
      </c>
    </row>
    <row r="201" spans="1:7" x14ac:dyDescent="0.25">
      <c r="A201" s="45" t="s">
        <v>53</v>
      </c>
      <c r="B201" s="27" t="s">
        <v>384</v>
      </c>
      <c r="C201" s="99" t="s">
        <v>611</v>
      </c>
      <c r="D201" s="99"/>
      <c r="E201" s="27" t="s">
        <v>53</v>
      </c>
      <c r="F201" s="8" t="s">
        <v>53</v>
      </c>
      <c r="G201" s="29" t="s">
        <v>53</v>
      </c>
    </row>
    <row r="202" spans="1:7" x14ac:dyDescent="0.25">
      <c r="A202" s="2" t="s">
        <v>612</v>
      </c>
      <c r="B202" s="3" t="s">
        <v>613</v>
      </c>
      <c r="C202" s="75" t="s">
        <v>614</v>
      </c>
      <c r="D202" s="75"/>
      <c r="E202" s="3" t="s">
        <v>68</v>
      </c>
      <c r="F202" s="23">
        <v>1</v>
      </c>
      <c r="G202" s="24">
        <v>0</v>
      </c>
    </row>
    <row r="203" spans="1:7" x14ac:dyDescent="0.25">
      <c r="A203" s="2" t="s">
        <v>616</v>
      </c>
      <c r="B203" s="3" t="s">
        <v>617</v>
      </c>
      <c r="C203" s="75" t="s">
        <v>618</v>
      </c>
      <c r="D203" s="75"/>
      <c r="E203" s="3" t="s">
        <v>68</v>
      </c>
      <c r="F203" s="23">
        <v>1</v>
      </c>
      <c r="G203" s="24">
        <v>0</v>
      </c>
    </row>
    <row r="204" spans="1:7" x14ac:dyDescent="0.25">
      <c r="A204" s="2" t="s">
        <v>619</v>
      </c>
      <c r="B204" s="3" t="s">
        <v>620</v>
      </c>
      <c r="C204" s="75" t="s">
        <v>621</v>
      </c>
      <c r="D204" s="75"/>
      <c r="E204" s="3" t="s">
        <v>68</v>
      </c>
      <c r="F204" s="23">
        <v>10</v>
      </c>
      <c r="G204" s="24">
        <v>0</v>
      </c>
    </row>
    <row r="205" spans="1:7" x14ac:dyDescent="0.25">
      <c r="A205" s="45" t="s">
        <v>53</v>
      </c>
      <c r="B205" s="27" t="s">
        <v>622</v>
      </c>
      <c r="C205" s="99" t="s">
        <v>623</v>
      </c>
      <c r="D205" s="99"/>
      <c r="E205" s="27" t="s">
        <v>53</v>
      </c>
      <c r="F205" s="8" t="s">
        <v>53</v>
      </c>
      <c r="G205" s="29" t="s">
        <v>53</v>
      </c>
    </row>
    <row r="206" spans="1:7" x14ac:dyDescent="0.25">
      <c r="A206" s="2" t="s">
        <v>624</v>
      </c>
      <c r="B206" s="3" t="s">
        <v>625</v>
      </c>
      <c r="C206" s="75" t="s">
        <v>626</v>
      </c>
      <c r="D206" s="75"/>
      <c r="E206" s="3" t="s">
        <v>627</v>
      </c>
      <c r="F206" s="23">
        <v>0.95</v>
      </c>
      <c r="G206" s="24">
        <v>0</v>
      </c>
    </row>
    <row r="207" spans="1:7" x14ac:dyDescent="0.25">
      <c r="A207" s="2" t="s">
        <v>629</v>
      </c>
      <c r="B207" s="3" t="s">
        <v>630</v>
      </c>
      <c r="C207" s="75" t="s">
        <v>631</v>
      </c>
      <c r="D207" s="75"/>
      <c r="E207" s="3" t="s">
        <v>627</v>
      </c>
      <c r="F207" s="23">
        <v>0.95</v>
      </c>
      <c r="G207" s="24">
        <v>0</v>
      </c>
    </row>
    <row r="208" spans="1:7" x14ac:dyDescent="0.25">
      <c r="A208" s="45" t="s">
        <v>53</v>
      </c>
      <c r="B208" s="27" t="s">
        <v>632</v>
      </c>
      <c r="C208" s="99" t="s">
        <v>633</v>
      </c>
      <c r="D208" s="99"/>
      <c r="E208" s="27" t="s">
        <v>53</v>
      </c>
      <c r="F208" s="8" t="s">
        <v>53</v>
      </c>
      <c r="G208" s="29" t="s">
        <v>53</v>
      </c>
    </row>
    <row r="209" spans="1:7" x14ac:dyDescent="0.25">
      <c r="A209" s="2" t="s">
        <v>634</v>
      </c>
      <c r="B209" s="3" t="s">
        <v>635</v>
      </c>
      <c r="C209" s="75" t="s">
        <v>636</v>
      </c>
      <c r="D209" s="75"/>
      <c r="E209" s="3" t="s">
        <v>627</v>
      </c>
      <c r="F209" s="23">
        <v>0.02</v>
      </c>
      <c r="G209" s="24">
        <v>0</v>
      </c>
    </row>
    <row r="210" spans="1:7" x14ac:dyDescent="0.25">
      <c r="A210" s="2" t="s">
        <v>638</v>
      </c>
      <c r="B210" s="3" t="s">
        <v>639</v>
      </c>
      <c r="C210" s="75" t="s">
        <v>640</v>
      </c>
      <c r="D210" s="75"/>
      <c r="E210" s="3" t="s">
        <v>627</v>
      </c>
      <c r="F210" s="23">
        <v>0.02</v>
      </c>
      <c r="G210" s="24">
        <v>0</v>
      </c>
    </row>
    <row r="211" spans="1:7" x14ac:dyDescent="0.25">
      <c r="A211" s="45" t="s">
        <v>53</v>
      </c>
      <c r="B211" s="27" t="s">
        <v>641</v>
      </c>
      <c r="C211" s="99" t="s">
        <v>118</v>
      </c>
      <c r="D211" s="99"/>
      <c r="E211" s="27" t="s">
        <v>53</v>
      </c>
      <c r="F211" s="8" t="s">
        <v>53</v>
      </c>
      <c r="G211" s="29" t="s">
        <v>53</v>
      </c>
    </row>
    <row r="212" spans="1:7" x14ac:dyDescent="0.25">
      <c r="A212" s="2" t="s">
        <v>642</v>
      </c>
      <c r="B212" s="3" t="s">
        <v>643</v>
      </c>
      <c r="C212" s="75" t="s">
        <v>644</v>
      </c>
      <c r="D212" s="75"/>
      <c r="E212" s="3" t="s">
        <v>627</v>
      </c>
      <c r="F212" s="23">
        <v>0.06</v>
      </c>
      <c r="G212" s="24">
        <v>0</v>
      </c>
    </row>
    <row r="213" spans="1:7" x14ac:dyDescent="0.25">
      <c r="A213" s="2" t="s">
        <v>646</v>
      </c>
      <c r="B213" s="3" t="s">
        <v>647</v>
      </c>
      <c r="C213" s="75" t="s">
        <v>648</v>
      </c>
      <c r="D213" s="75"/>
      <c r="E213" s="3" t="s">
        <v>627</v>
      </c>
      <c r="F213" s="23">
        <v>0.06</v>
      </c>
      <c r="G213" s="24">
        <v>0</v>
      </c>
    </row>
    <row r="214" spans="1:7" x14ac:dyDescent="0.25">
      <c r="A214" s="45" t="s">
        <v>53</v>
      </c>
      <c r="B214" s="27" t="s">
        <v>649</v>
      </c>
      <c r="C214" s="99" t="s">
        <v>133</v>
      </c>
      <c r="D214" s="99"/>
      <c r="E214" s="27" t="s">
        <v>53</v>
      </c>
      <c r="F214" s="8" t="s">
        <v>53</v>
      </c>
      <c r="G214" s="29" t="s">
        <v>53</v>
      </c>
    </row>
    <row r="215" spans="1:7" x14ac:dyDescent="0.25">
      <c r="A215" s="2" t="s">
        <v>650</v>
      </c>
      <c r="B215" s="3" t="s">
        <v>651</v>
      </c>
      <c r="C215" s="75" t="s">
        <v>652</v>
      </c>
      <c r="D215" s="75"/>
      <c r="E215" s="3" t="s">
        <v>627</v>
      </c>
      <c r="F215" s="23">
        <v>0.2</v>
      </c>
      <c r="G215" s="24">
        <v>0</v>
      </c>
    </row>
    <row r="216" spans="1:7" x14ac:dyDescent="0.25">
      <c r="A216" s="2" t="s">
        <v>654</v>
      </c>
      <c r="B216" s="3" t="s">
        <v>655</v>
      </c>
      <c r="C216" s="75" t="s">
        <v>656</v>
      </c>
      <c r="D216" s="75"/>
      <c r="E216" s="3" t="s">
        <v>627</v>
      </c>
      <c r="F216" s="23">
        <v>0.02</v>
      </c>
      <c r="G216" s="24">
        <v>0</v>
      </c>
    </row>
    <row r="217" spans="1:7" x14ac:dyDescent="0.25">
      <c r="A217" s="45" t="s">
        <v>53</v>
      </c>
      <c r="B217" s="27" t="s">
        <v>657</v>
      </c>
      <c r="C217" s="99" t="s">
        <v>215</v>
      </c>
      <c r="D217" s="99"/>
      <c r="E217" s="27" t="s">
        <v>53</v>
      </c>
      <c r="F217" s="8" t="s">
        <v>53</v>
      </c>
      <c r="G217" s="29" t="s">
        <v>53</v>
      </c>
    </row>
    <row r="218" spans="1:7" x14ac:dyDescent="0.25">
      <c r="A218" s="2" t="s">
        <v>658</v>
      </c>
      <c r="B218" s="3" t="s">
        <v>659</v>
      </c>
      <c r="C218" s="75" t="s">
        <v>660</v>
      </c>
      <c r="D218" s="75"/>
      <c r="E218" s="3" t="s">
        <v>627</v>
      </c>
      <c r="F218" s="23">
        <v>0.19</v>
      </c>
      <c r="G218" s="24">
        <v>0</v>
      </c>
    </row>
    <row r="219" spans="1:7" x14ac:dyDescent="0.25">
      <c r="A219" s="2" t="s">
        <v>662</v>
      </c>
      <c r="B219" s="3" t="s">
        <v>663</v>
      </c>
      <c r="C219" s="75" t="s">
        <v>664</v>
      </c>
      <c r="D219" s="75"/>
      <c r="E219" s="3" t="s">
        <v>627</v>
      </c>
      <c r="F219" s="23">
        <v>0.19</v>
      </c>
      <c r="G219" s="24">
        <v>0</v>
      </c>
    </row>
    <row r="220" spans="1:7" x14ac:dyDescent="0.25">
      <c r="A220" s="45" t="s">
        <v>53</v>
      </c>
      <c r="B220" s="27" t="s">
        <v>665</v>
      </c>
      <c r="C220" s="99" t="s">
        <v>280</v>
      </c>
      <c r="D220" s="99"/>
      <c r="E220" s="27" t="s">
        <v>53</v>
      </c>
      <c r="F220" s="8" t="s">
        <v>53</v>
      </c>
      <c r="G220" s="29" t="s">
        <v>53</v>
      </c>
    </row>
    <row r="221" spans="1:7" x14ac:dyDescent="0.25">
      <c r="A221" s="2" t="s">
        <v>666</v>
      </c>
      <c r="B221" s="3" t="s">
        <v>667</v>
      </c>
      <c r="C221" s="75" t="s">
        <v>668</v>
      </c>
      <c r="D221" s="75"/>
      <c r="E221" s="3" t="s">
        <v>627</v>
      </c>
      <c r="F221" s="23">
        <v>1.41</v>
      </c>
      <c r="G221" s="24">
        <v>0</v>
      </c>
    </row>
    <row r="222" spans="1:7" x14ac:dyDescent="0.25">
      <c r="A222" s="2" t="s">
        <v>670</v>
      </c>
      <c r="B222" s="3" t="s">
        <v>671</v>
      </c>
      <c r="C222" s="75" t="s">
        <v>672</v>
      </c>
      <c r="D222" s="75"/>
      <c r="E222" s="3" t="s">
        <v>627</v>
      </c>
      <c r="F222" s="23">
        <v>1.41</v>
      </c>
      <c r="G222" s="24">
        <v>0</v>
      </c>
    </row>
    <row r="223" spans="1:7" x14ac:dyDescent="0.25">
      <c r="A223" s="45" t="s">
        <v>53</v>
      </c>
      <c r="B223" s="27" t="s">
        <v>673</v>
      </c>
      <c r="C223" s="99" t="s">
        <v>305</v>
      </c>
      <c r="D223" s="99"/>
      <c r="E223" s="27" t="s">
        <v>53</v>
      </c>
      <c r="F223" s="8" t="s">
        <v>53</v>
      </c>
      <c r="G223" s="29" t="s">
        <v>53</v>
      </c>
    </row>
    <row r="224" spans="1:7" x14ac:dyDescent="0.25">
      <c r="A224" s="2" t="s">
        <v>674</v>
      </c>
      <c r="B224" s="3" t="s">
        <v>675</v>
      </c>
      <c r="C224" s="75" t="s">
        <v>676</v>
      </c>
      <c r="D224" s="75"/>
      <c r="E224" s="3" t="s">
        <v>627</v>
      </c>
      <c r="F224" s="23">
        <v>0.6</v>
      </c>
      <c r="G224" s="24">
        <v>0</v>
      </c>
    </row>
    <row r="225" spans="1:7" x14ac:dyDescent="0.25">
      <c r="A225" s="2" t="s">
        <v>678</v>
      </c>
      <c r="B225" s="3" t="s">
        <v>679</v>
      </c>
      <c r="C225" s="75" t="s">
        <v>680</v>
      </c>
      <c r="D225" s="75"/>
      <c r="E225" s="3" t="s">
        <v>627</v>
      </c>
      <c r="F225" s="23">
        <v>0.6</v>
      </c>
      <c r="G225" s="24">
        <v>0</v>
      </c>
    </row>
    <row r="226" spans="1:7" x14ac:dyDescent="0.25">
      <c r="A226" s="45" t="s">
        <v>53</v>
      </c>
      <c r="B226" s="27" t="s">
        <v>681</v>
      </c>
      <c r="C226" s="99" t="s">
        <v>361</v>
      </c>
      <c r="D226" s="99"/>
      <c r="E226" s="27" t="s">
        <v>53</v>
      </c>
      <c r="F226" s="8" t="s">
        <v>53</v>
      </c>
      <c r="G226" s="29" t="s">
        <v>53</v>
      </c>
    </row>
    <row r="227" spans="1:7" x14ac:dyDescent="0.25">
      <c r="A227" s="2" t="s">
        <v>682</v>
      </c>
      <c r="B227" s="3" t="s">
        <v>683</v>
      </c>
      <c r="C227" s="75" t="s">
        <v>684</v>
      </c>
      <c r="D227" s="75"/>
      <c r="E227" s="3" t="s">
        <v>627</v>
      </c>
      <c r="F227" s="23">
        <v>0.28000000000000003</v>
      </c>
      <c r="G227" s="24">
        <v>0</v>
      </c>
    </row>
    <row r="228" spans="1:7" x14ac:dyDescent="0.25">
      <c r="A228" s="2" t="s">
        <v>686</v>
      </c>
      <c r="B228" s="3" t="s">
        <v>687</v>
      </c>
      <c r="C228" s="75" t="s">
        <v>688</v>
      </c>
      <c r="D228" s="75"/>
      <c r="E228" s="3" t="s">
        <v>627</v>
      </c>
      <c r="F228" s="23">
        <v>0.28000000000000003</v>
      </c>
      <c r="G228" s="24">
        <v>0</v>
      </c>
    </row>
    <row r="229" spans="1:7" x14ac:dyDescent="0.25">
      <c r="A229" s="45" t="s">
        <v>53</v>
      </c>
      <c r="B229" s="27" t="s">
        <v>689</v>
      </c>
      <c r="C229" s="99" t="s">
        <v>388</v>
      </c>
      <c r="D229" s="99"/>
      <c r="E229" s="27" t="s">
        <v>53</v>
      </c>
      <c r="F229" s="8" t="s">
        <v>53</v>
      </c>
      <c r="G229" s="29" t="s">
        <v>53</v>
      </c>
    </row>
    <row r="230" spans="1:7" x14ac:dyDescent="0.25">
      <c r="A230" s="2" t="s">
        <v>690</v>
      </c>
      <c r="B230" s="3" t="s">
        <v>691</v>
      </c>
      <c r="C230" s="75" t="s">
        <v>692</v>
      </c>
      <c r="D230" s="75"/>
      <c r="E230" s="3" t="s">
        <v>627</v>
      </c>
      <c r="F230" s="23">
        <v>0.31</v>
      </c>
      <c r="G230" s="24">
        <v>0</v>
      </c>
    </row>
    <row r="231" spans="1:7" x14ac:dyDescent="0.25">
      <c r="A231" s="2" t="s">
        <v>694</v>
      </c>
      <c r="B231" s="3" t="s">
        <v>695</v>
      </c>
      <c r="C231" s="75" t="s">
        <v>696</v>
      </c>
      <c r="D231" s="75"/>
      <c r="E231" s="3" t="s">
        <v>627</v>
      </c>
      <c r="F231" s="23">
        <v>0.31</v>
      </c>
      <c r="G231" s="24">
        <v>0</v>
      </c>
    </row>
    <row r="232" spans="1:7" x14ac:dyDescent="0.25">
      <c r="A232" s="45" t="s">
        <v>53</v>
      </c>
      <c r="B232" s="27" t="s">
        <v>697</v>
      </c>
      <c r="C232" s="99" t="s">
        <v>698</v>
      </c>
      <c r="D232" s="99"/>
      <c r="E232" s="27" t="s">
        <v>53</v>
      </c>
      <c r="F232" s="8" t="s">
        <v>53</v>
      </c>
      <c r="G232" s="29" t="s">
        <v>53</v>
      </c>
    </row>
    <row r="233" spans="1:7" x14ac:dyDescent="0.25">
      <c r="A233" s="2" t="s">
        <v>699</v>
      </c>
      <c r="B233" s="3" t="s">
        <v>700</v>
      </c>
      <c r="C233" s="75" t="s">
        <v>701</v>
      </c>
      <c r="D233" s="75"/>
      <c r="E233" s="3" t="s">
        <v>627</v>
      </c>
      <c r="F233" s="23">
        <v>0.22</v>
      </c>
      <c r="G233" s="24">
        <v>0</v>
      </c>
    </row>
    <row r="234" spans="1:7" x14ac:dyDescent="0.25">
      <c r="A234" s="2" t="s">
        <v>703</v>
      </c>
      <c r="B234" s="3" t="s">
        <v>704</v>
      </c>
      <c r="C234" s="75" t="s">
        <v>705</v>
      </c>
      <c r="D234" s="75"/>
      <c r="E234" s="3" t="s">
        <v>627</v>
      </c>
      <c r="F234" s="23">
        <v>0.22</v>
      </c>
      <c r="G234" s="24">
        <v>0</v>
      </c>
    </row>
    <row r="235" spans="1:7" x14ac:dyDescent="0.25">
      <c r="A235" s="45" t="s">
        <v>53</v>
      </c>
      <c r="B235" s="27" t="s">
        <v>706</v>
      </c>
      <c r="C235" s="99" t="s">
        <v>707</v>
      </c>
      <c r="D235" s="99"/>
      <c r="E235" s="27" t="s">
        <v>53</v>
      </c>
      <c r="F235" s="8" t="s">
        <v>53</v>
      </c>
      <c r="G235" s="29" t="s">
        <v>53</v>
      </c>
    </row>
    <row r="236" spans="1:7" x14ac:dyDescent="0.25">
      <c r="A236" s="2" t="s">
        <v>708</v>
      </c>
      <c r="B236" s="3" t="s">
        <v>709</v>
      </c>
      <c r="C236" s="75" t="s">
        <v>710</v>
      </c>
      <c r="D236" s="75"/>
      <c r="E236" s="3" t="s">
        <v>711</v>
      </c>
      <c r="F236" s="23">
        <v>16</v>
      </c>
      <c r="G236" s="24">
        <v>0</v>
      </c>
    </row>
    <row r="237" spans="1:7" x14ac:dyDescent="0.25">
      <c r="A237" s="2" t="s">
        <v>713</v>
      </c>
      <c r="B237" s="3" t="s">
        <v>714</v>
      </c>
      <c r="C237" s="75" t="s">
        <v>715</v>
      </c>
      <c r="D237" s="75"/>
      <c r="E237" s="3" t="s">
        <v>716</v>
      </c>
      <c r="F237" s="23">
        <v>10</v>
      </c>
      <c r="G237" s="24">
        <v>0</v>
      </c>
    </row>
    <row r="238" spans="1:7" x14ac:dyDescent="0.25">
      <c r="A238" s="2" t="s">
        <v>717</v>
      </c>
      <c r="B238" s="3" t="s">
        <v>718</v>
      </c>
      <c r="C238" s="75" t="s">
        <v>719</v>
      </c>
      <c r="D238" s="75"/>
      <c r="E238" s="3" t="s">
        <v>627</v>
      </c>
      <c r="F238" s="23">
        <v>1</v>
      </c>
      <c r="G238" s="24">
        <v>0</v>
      </c>
    </row>
    <row r="239" spans="1:7" x14ac:dyDescent="0.25">
      <c r="A239" s="45" t="s">
        <v>53</v>
      </c>
      <c r="B239" s="27" t="s">
        <v>720</v>
      </c>
      <c r="C239" s="99" t="s">
        <v>721</v>
      </c>
      <c r="D239" s="99"/>
      <c r="E239" s="27" t="s">
        <v>53</v>
      </c>
      <c r="F239" s="8" t="s">
        <v>53</v>
      </c>
      <c r="G239" s="29" t="s">
        <v>53</v>
      </c>
    </row>
    <row r="240" spans="1:7" x14ac:dyDescent="0.25">
      <c r="A240" s="2" t="s">
        <v>722</v>
      </c>
      <c r="B240" s="3" t="s">
        <v>723</v>
      </c>
      <c r="C240" s="75" t="s">
        <v>724</v>
      </c>
      <c r="D240" s="75"/>
      <c r="E240" s="3" t="s">
        <v>68</v>
      </c>
      <c r="F240" s="23">
        <v>3</v>
      </c>
      <c r="G240" s="24">
        <v>0</v>
      </c>
    </row>
    <row r="241" spans="1:7" x14ac:dyDescent="0.25">
      <c r="A241" s="2" t="s">
        <v>726</v>
      </c>
      <c r="B241" s="3" t="s">
        <v>727</v>
      </c>
      <c r="C241" s="75" t="s">
        <v>728</v>
      </c>
      <c r="D241" s="75"/>
      <c r="E241" s="3" t="s">
        <v>68</v>
      </c>
      <c r="F241" s="23">
        <v>1</v>
      </c>
      <c r="G241" s="24">
        <v>0</v>
      </c>
    </row>
    <row r="242" spans="1:7" x14ac:dyDescent="0.25">
      <c r="A242" s="2" t="s">
        <v>729</v>
      </c>
      <c r="B242" s="3" t="s">
        <v>730</v>
      </c>
      <c r="C242" s="75" t="s">
        <v>731</v>
      </c>
      <c r="D242" s="75"/>
      <c r="E242" s="3" t="s">
        <v>68</v>
      </c>
      <c r="F242" s="23">
        <v>1</v>
      </c>
      <c r="G242" s="24">
        <v>0</v>
      </c>
    </row>
    <row r="243" spans="1:7" x14ac:dyDescent="0.25">
      <c r="A243" s="2" t="s">
        <v>732</v>
      </c>
      <c r="B243" s="3" t="s">
        <v>733</v>
      </c>
      <c r="C243" s="75" t="s">
        <v>734</v>
      </c>
      <c r="D243" s="75"/>
      <c r="E243" s="3" t="s">
        <v>68</v>
      </c>
      <c r="F243" s="23">
        <v>1</v>
      </c>
      <c r="G243" s="24">
        <v>0</v>
      </c>
    </row>
    <row r="244" spans="1:7" x14ac:dyDescent="0.25">
      <c r="A244" s="45" t="s">
        <v>53</v>
      </c>
      <c r="B244" s="27" t="s">
        <v>735</v>
      </c>
      <c r="C244" s="99" t="s">
        <v>736</v>
      </c>
      <c r="D244" s="99"/>
      <c r="E244" s="27" t="s">
        <v>53</v>
      </c>
      <c r="F244" s="8" t="s">
        <v>53</v>
      </c>
      <c r="G244" s="29" t="s">
        <v>53</v>
      </c>
    </row>
    <row r="245" spans="1:7" x14ac:dyDescent="0.25">
      <c r="A245" s="2" t="s">
        <v>737</v>
      </c>
      <c r="B245" s="3" t="s">
        <v>738</v>
      </c>
      <c r="C245" s="75" t="s">
        <v>739</v>
      </c>
      <c r="D245" s="75"/>
      <c r="E245" s="3" t="s">
        <v>102</v>
      </c>
      <c r="F245" s="23">
        <v>70</v>
      </c>
      <c r="G245" s="24">
        <v>0</v>
      </c>
    </row>
    <row r="246" spans="1:7" x14ac:dyDescent="0.25">
      <c r="A246" s="2" t="s">
        <v>741</v>
      </c>
      <c r="B246" s="3" t="s">
        <v>742</v>
      </c>
      <c r="C246" s="75" t="s">
        <v>743</v>
      </c>
      <c r="D246" s="75"/>
      <c r="E246" s="3" t="s">
        <v>68</v>
      </c>
      <c r="F246" s="23">
        <v>1</v>
      </c>
      <c r="G246" s="24">
        <v>0</v>
      </c>
    </row>
    <row r="247" spans="1:7" x14ac:dyDescent="0.25">
      <c r="A247" s="2" t="s">
        <v>744</v>
      </c>
      <c r="B247" s="3" t="s">
        <v>745</v>
      </c>
      <c r="C247" s="75" t="s">
        <v>746</v>
      </c>
      <c r="D247" s="75"/>
      <c r="E247" s="3" t="s">
        <v>68</v>
      </c>
      <c r="F247" s="23">
        <v>30</v>
      </c>
      <c r="G247" s="24">
        <v>0</v>
      </c>
    </row>
    <row r="248" spans="1:7" x14ac:dyDescent="0.25">
      <c r="A248" s="2" t="s">
        <v>747</v>
      </c>
      <c r="B248" s="3" t="s">
        <v>748</v>
      </c>
      <c r="C248" s="75" t="s">
        <v>749</v>
      </c>
      <c r="D248" s="75"/>
      <c r="E248" s="3" t="s">
        <v>68</v>
      </c>
      <c r="F248" s="23">
        <v>1</v>
      </c>
      <c r="G248" s="24">
        <v>0</v>
      </c>
    </row>
    <row r="249" spans="1:7" x14ac:dyDescent="0.25">
      <c r="A249" s="2" t="s">
        <v>750</v>
      </c>
      <c r="B249" s="3" t="s">
        <v>751</v>
      </c>
      <c r="C249" s="75" t="s">
        <v>752</v>
      </c>
      <c r="D249" s="75"/>
      <c r="E249" s="3" t="s">
        <v>68</v>
      </c>
      <c r="F249" s="23">
        <v>1</v>
      </c>
      <c r="G249" s="24">
        <v>0</v>
      </c>
    </row>
    <row r="250" spans="1:7" x14ac:dyDescent="0.25">
      <c r="A250" s="2" t="s">
        <v>753</v>
      </c>
      <c r="B250" s="3" t="s">
        <v>754</v>
      </c>
      <c r="C250" s="75" t="s">
        <v>755</v>
      </c>
      <c r="D250" s="75"/>
      <c r="E250" s="3" t="s">
        <v>68</v>
      </c>
      <c r="F250" s="23">
        <v>1</v>
      </c>
      <c r="G250" s="24">
        <v>0</v>
      </c>
    </row>
    <row r="251" spans="1:7" x14ac:dyDescent="0.25">
      <c r="A251" s="2" t="s">
        <v>756</v>
      </c>
      <c r="B251" s="3" t="s">
        <v>748</v>
      </c>
      <c r="C251" s="75" t="s">
        <v>757</v>
      </c>
      <c r="D251" s="75"/>
      <c r="E251" s="3" t="s">
        <v>68</v>
      </c>
      <c r="F251" s="23">
        <v>1</v>
      </c>
      <c r="G251" s="24">
        <v>0</v>
      </c>
    </row>
    <row r="252" spans="1:7" x14ac:dyDescent="0.25">
      <c r="A252" s="2" t="s">
        <v>758</v>
      </c>
      <c r="B252" s="3" t="s">
        <v>748</v>
      </c>
      <c r="C252" s="75" t="s">
        <v>759</v>
      </c>
      <c r="D252" s="75"/>
      <c r="E252" s="3" t="s">
        <v>68</v>
      </c>
      <c r="F252" s="23">
        <v>1</v>
      </c>
      <c r="G252" s="24">
        <v>0</v>
      </c>
    </row>
    <row r="253" spans="1:7" x14ac:dyDescent="0.25">
      <c r="A253" s="2" t="s">
        <v>760</v>
      </c>
      <c r="B253" s="3" t="s">
        <v>748</v>
      </c>
      <c r="C253" s="75" t="s">
        <v>761</v>
      </c>
      <c r="D253" s="75"/>
      <c r="E253" s="3" t="s">
        <v>68</v>
      </c>
      <c r="F253" s="23">
        <v>4</v>
      </c>
      <c r="G253" s="24">
        <v>0</v>
      </c>
    </row>
    <row r="254" spans="1:7" x14ac:dyDescent="0.25">
      <c r="A254" s="2" t="s">
        <v>762</v>
      </c>
      <c r="B254" s="3" t="s">
        <v>748</v>
      </c>
      <c r="C254" s="75" t="s">
        <v>763</v>
      </c>
      <c r="D254" s="75"/>
      <c r="E254" s="3" t="s">
        <v>68</v>
      </c>
      <c r="F254" s="23">
        <v>4</v>
      </c>
      <c r="G254" s="24">
        <v>0</v>
      </c>
    </row>
    <row r="255" spans="1:7" x14ac:dyDescent="0.25">
      <c r="A255" s="2" t="s">
        <v>764</v>
      </c>
      <c r="B255" s="3" t="s">
        <v>765</v>
      </c>
      <c r="C255" s="75" t="s">
        <v>766</v>
      </c>
      <c r="D255" s="75"/>
      <c r="E255" s="3" t="s">
        <v>68</v>
      </c>
      <c r="F255" s="23">
        <v>2</v>
      </c>
      <c r="G255" s="24">
        <v>0</v>
      </c>
    </row>
    <row r="256" spans="1:7" x14ac:dyDescent="0.25">
      <c r="A256" s="2" t="s">
        <v>767</v>
      </c>
      <c r="B256" s="3" t="s">
        <v>768</v>
      </c>
      <c r="C256" s="75" t="s">
        <v>769</v>
      </c>
      <c r="D256" s="75"/>
      <c r="E256" s="3" t="s">
        <v>68</v>
      </c>
      <c r="F256" s="23">
        <v>1</v>
      </c>
      <c r="G256" s="24">
        <v>0</v>
      </c>
    </row>
    <row r="257" spans="1:7" x14ac:dyDescent="0.25">
      <c r="A257" s="2" t="s">
        <v>770</v>
      </c>
      <c r="B257" s="3" t="s">
        <v>771</v>
      </c>
      <c r="C257" s="75" t="s">
        <v>772</v>
      </c>
      <c r="D257" s="75"/>
      <c r="E257" s="3" t="s">
        <v>68</v>
      </c>
      <c r="F257" s="23">
        <v>1</v>
      </c>
      <c r="G257" s="24">
        <v>0</v>
      </c>
    </row>
    <row r="258" spans="1:7" x14ac:dyDescent="0.25">
      <c r="A258" s="2" t="s">
        <v>773</v>
      </c>
      <c r="B258" s="3" t="s">
        <v>774</v>
      </c>
      <c r="C258" s="75" t="s">
        <v>775</v>
      </c>
      <c r="D258" s="75"/>
      <c r="E258" s="3" t="s">
        <v>68</v>
      </c>
      <c r="F258" s="23">
        <v>1</v>
      </c>
      <c r="G258" s="24">
        <v>0</v>
      </c>
    </row>
    <row r="259" spans="1:7" x14ac:dyDescent="0.25">
      <c r="A259" s="2" t="s">
        <v>776</v>
      </c>
      <c r="B259" s="3" t="s">
        <v>777</v>
      </c>
      <c r="C259" s="75" t="s">
        <v>778</v>
      </c>
      <c r="D259" s="75"/>
      <c r="E259" s="3" t="s">
        <v>68</v>
      </c>
      <c r="F259" s="23">
        <v>1</v>
      </c>
      <c r="G259" s="24">
        <v>0</v>
      </c>
    </row>
    <row r="260" spans="1:7" x14ac:dyDescent="0.25">
      <c r="A260" s="2" t="s">
        <v>779</v>
      </c>
      <c r="B260" s="3" t="s">
        <v>780</v>
      </c>
      <c r="C260" s="75" t="s">
        <v>781</v>
      </c>
      <c r="D260" s="75"/>
      <c r="E260" s="3" t="s">
        <v>68</v>
      </c>
      <c r="F260" s="23">
        <v>1</v>
      </c>
      <c r="G260" s="24">
        <v>0</v>
      </c>
    </row>
    <row r="261" spans="1:7" x14ac:dyDescent="0.25">
      <c r="A261" s="2" t="s">
        <v>782</v>
      </c>
      <c r="B261" s="3" t="s">
        <v>783</v>
      </c>
      <c r="C261" s="75" t="s">
        <v>784</v>
      </c>
      <c r="D261" s="75"/>
      <c r="E261" s="3" t="s">
        <v>68</v>
      </c>
      <c r="F261" s="23">
        <v>1</v>
      </c>
      <c r="G261" s="24">
        <v>0</v>
      </c>
    </row>
    <row r="262" spans="1:7" x14ac:dyDescent="0.25">
      <c r="A262" s="2" t="s">
        <v>785</v>
      </c>
      <c r="B262" s="3" t="s">
        <v>786</v>
      </c>
      <c r="C262" s="75" t="s">
        <v>787</v>
      </c>
      <c r="D262" s="75"/>
      <c r="E262" s="3" t="s">
        <v>102</v>
      </c>
      <c r="F262" s="23">
        <v>6</v>
      </c>
      <c r="G262" s="24">
        <v>0</v>
      </c>
    </row>
    <row r="263" spans="1:7" x14ac:dyDescent="0.25">
      <c r="A263" s="2" t="s">
        <v>788</v>
      </c>
      <c r="B263" s="3" t="s">
        <v>789</v>
      </c>
      <c r="C263" s="75" t="s">
        <v>790</v>
      </c>
      <c r="D263" s="75"/>
      <c r="E263" s="3" t="s">
        <v>102</v>
      </c>
      <c r="F263" s="23">
        <v>4</v>
      </c>
      <c r="G263" s="24">
        <v>0</v>
      </c>
    </row>
    <row r="264" spans="1:7" x14ac:dyDescent="0.25">
      <c r="A264" s="2" t="s">
        <v>791</v>
      </c>
      <c r="B264" s="3" t="s">
        <v>792</v>
      </c>
      <c r="C264" s="75" t="s">
        <v>793</v>
      </c>
      <c r="D264" s="75"/>
      <c r="E264" s="3" t="s">
        <v>102</v>
      </c>
      <c r="F264" s="23">
        <v>180</v>
      </c>
      <c r="G264" s="24">
        <v>0</v>
      </c>
    </row>
    <row r="265" spans="1:7" x14ac:dyDescent="0.25">
      <c r="A265" s="2" t="s">
        <v>794</v>
      </c>
      <c r="B265" s="3" t="s">
        <v>795</v>
      </c>
      <c r="C265" s="75" t="s">
        <v>796</v>
      </c>
      <c r="D265" s="75"/>
      <c r="E265" s="3" t="s">
        <v>102</v>
      </c>
      <c r="F265" s="23">
        <v>30</v>
      </c>
      <c r="G265" s="24">
        <v>0</v>
      </c>
    </row>
    <row r="266" spans="1:7" x14ac:dyDescent="0.25">
      <c r="A266" s="2" t="s">
        <v>797</v>
      </c>
      <c r="B266" s="3" t="s">
        <v>798</v>
      </c>
      <c r="C266" s="75" t="s">
        <v>799</v>
      </c>
      <c r="D266" s="75"/>
      <c r="E266" s="3" t="s">
        <v>102</v>
      </c>
      <c r="F266" s="23">
        <v>180</v>
      </c>
      <c r="G266" s="24">
        <v>0</v>
      </c>
    </row>
    <row r="267" spans="1:7" x14ac:dyDescent="0.25">
      <c r="A267" s="2" t="s">
        <v>800</v>
      </c>
      <c r="B267" s="3" t="s">
        <v>801</v>
      </c>
      <c r="C267" s="75" t="s">
        <v>802</v>
      </c>
      <c r="D267" s="75"/>
      <c r="E267" s="3" t="s">
        <v>102</v>
      </c>
      <c r="F267" s="23">
        <v>76</v>
      </c>
      <c r="G267" s="24">
        <v>0</v>
      </c>
    </row>
    <row r="268" spans="1:7" x14ac:dyDescent="0.25">
      <c r="A268" s="2" t="s">
        <v>803</v>
      </c>
      <c r="B268" s="3" t="s">
        <v>804</v>
      </c>
      <c r="C268" s="75" t="s">
        <v>805</v>
      </c>
      <c r="D268" s="75"/>
      <c r="E268" s="3" t="s">
        <v>102</v>
      </c>
      <c r="F268" s="23">
        <v>20</v>
      </c>
      <c r="G268" s="24">
        <v>0</v>
      </c>
    </row>
    <row r="269" spans="1:7" x14ac:dyDescent="0.25">
      <c r="A269" s="2" t="s">
        <v>806</v>
      </c>
      <c r="B269" s="3" t="s">
        <v>807</v>
      </c>
      <c r="C269" s="75" t="s">
        <v>808</v>
      </c>
      <c r="D269" s="75"/>
      <c r="E269" s="3" t="s">
        <v>68</v>
      </c>
      <c r="F269" s="23">
        <v>5</v>
      </c>
      <c r="G269" s="24">
        <v>0</v>
      </c>
    </row>
    <row r="270" spans="1:7" x14ac:dyDescent="0.25">
      <c r="A270" s="2" t="s">
        <v>809</v>
      </c>
      <c r="B270" s="3" t="s">
        <v>810</v>
      </c>
      <c r="C270" s="75" t="s">
        <v>811</v>
      </c>
      <c r="D270" s="75"/>
      <c r="E270" s="3" t="s">
        <v>68</v>
      </c>
      <c r="F270" s="23">
        <v>8</v>
      </c>
      <c r="G270" s="24">
        <v>0</v>
      </c>
    </row>
    <row r="271" spans="1:7" x14ac:dyDescent="0.25">
      <c r="A271" s="2" t="s">
        <v>812</v>
      </c>
      <c r="B271" s="3" t="s">
        <v>813</v>
      </c>
      <c r="C271" s="75" t="s">
        <v>814</v>
      </c>
      <c r="D271" s="75"/>
      <c r="E271" s="3" t="s">
        <v>68</v>
      </c>
      <c r="F271" s="23">
        <v>1</v>
      </c>
      <c r="G271" s="24">
        <v>0</v>
      </c>
    </row>
    <row r="272" spans="1:7" x14ac:dyDescent="0.25">
      <c r="A272" s="2" t="s">
        <v>815</v>
      </c>
      <c r="B272" s="3" t="s">
        <v>816</v>
      </c>
      <c r="C272" s="75" t="s">
        <v>817</v>
      </c>
      <c r="D272" s="75"/>
      <c r="E272" s="3" t="s">
        <v>68</v>
      </c>
      <c r="F272" s="23">
        <v>45</v>
      </c>
      <c r="G272" s="24">
        <v>0</v>
      </c>
    </row>
    <row r="273" spans="1:7" x14ac:dyDescent="0.25">
      <c r="A273" s="2" t="s">
        <v>818</v>
      </c>
      <c r="B273" s="3" t="s">
        <v>819</v>
      </c>
      <c r="C273" s="75" t="s">
        <v>820</v>
      </c>
      <c r="D273" s="75"/>
      <c r="E273" s="3" t="s">
        <v>68</v>
      </c>
      <c r="F273" s="23">
        <v>1</v>
      </c>
      <c r="G273" s="24">
        <v>0</v>
      </c>
    </row>
    <row r="274" spans="1:7" x14ac:dyDescent="0.25">
      <c r="A274" s="2" t="s">
        <v>821</v>
      </c>
      <c r="B274" s="3" t="s">
        <v>822</v>
      </c>
      <c r="C274" s="75" t="s">
        <v>823</v>
      </c>
      <c r="D274" s="75"/>
      <c r="E274" s="3" t="s">
        <v>68</v>
      </c>
      <c r="F274" s="23">
        <v>1</v>
      </c>
      <c r="G274" s="24">
        <v>0</v>
      </c>
    </row>
    <row r="275" spans="1:7" x14ac:dyDescent="0.25">
      <c r="A275" s="2" t="s">
        <v>824</v>
      </c>
      <c r="B275" s="3" t="s">
        <v>825</v>
      </c>
      <c r="C275" s="75" t="s">
        <v>826</v>
      </c>
      <c r="D275" s="75"/>
      <c r="E275" s="3" t="s">
        <v>358</v>
      </c>
      <c r="F275" s="23">
        <v>1</v>
      </c>
      <c r="G275" s="24">
        <v>0</v>
      </c>
    </row>
    <row r="276" spans="1:7" x14ac:dyDescent="0.25">
      <c r="A276" s="2" t="s">
        <v>827</v>
      </c>
      <c r="B276" s="3" t="s">
        <v>828</v>
      </c>
      <c r="C276" s="75" t="s">
        <v>829</v>
      </c>
      <c r="D276" s="75"/>
      <c r="E276" s="3" t="s">
        <v>68</v>
      </c>
      <c r="F276" s="23">
        <v>1</v>
      </c>
      <c r="G276" s="24">
        <v>0</v>
      </c>
    </row>
    <row r="277" spans="1:7" x14ac:dyDescent="0.25">
      <c r="A277" s="2" t="s">
        <v>830</v>
      </c>
      <c r="B277" s="3" t="s">
        <v>831</v>
      </c>
      <c r="C277" s="75" t="s">
        <v>832</v>
      </c>
      <c r="D277" s="75"/>
      <c r="E277" s="3" t="s">
        <v>68</v>
      </c>
      <c r="F277" s="23">
        <v>1</v>
      </c>
      <c r="G277" s="24">
        <v>0</v>
      </c>
    </row>
    <row r="278" spans="1:7" x14ac:dyDescent="0.25">
      <c r="A278" s="2" t="s">
        <v>833</v>
      </c>
      <c r="B278" s="3" t="s">
        <v>834</v>
      </c>
      <c r="C278" s="75" t="s">
        <v>835</v>
      </c>
      <c r="D278" s="75"/>
      <c r="E278" s="3" t="s">
        <v>68</v>
      </c>
      <c r="F278" s="23">
        <v>3</v>
      </c>
      <c r="G278" s="24">
        <v>0</v>
      </c>
    </row>
    <row r="279" spans="1:7" x14ac:dyDescent="0.25">
      <c r="A279" s="2" t="s">
        <v>836</v>
      </c>
      <c r="B279" s="3" t="s">
        <v>837</v>
      </c>
      <c r="C279" s="75" t="s">
        <v>838</v>
      </c>
      <c r="D279" s="75"/>
      <c r="E279" s="3" t="s">
        <v>68</v>
      </c>
      <c r="F279" s="23">
        <v>40</v>
      </c>
      <c r="G279" s="24">
        <v>0</v>
      </c>
    </row>
    <row r="280" spans="1:7" x14ac:dyDescent="0.25">
      <c r="A280" s="2" t="s">
        <v>839</v>
      </c>
      <c r="B280" s="3" t="s">
        <v>771</v>
      </c>
      <c r="C280" s="75" t="s">
        <v>840</v>
      </c>
      <c r="D280" s="75"/>
      <c r="E280" s="3" t="s">
        <v>68</v>
      </c>
      <c r="F280" s="23">
        <v>1</v>
      </c>
      <c r="G280" s="24">
        <v>0</v>
      </c>
    </row>
    <row r="281" spans="1:7" x14ac:dyDescent="0.25">
      <c r="A281" s="2" t="s">
        <v>841</v>
      </c>
      <c r="B281" s="3" t="s">
        <v>842</v>
      </c>
      <c r="C281" s="75" t="s">
        <v>843</v>
      </c>
      <c r="D281" s="75"/>
      <c r="E281" s="3" t="s">
        <v>68</v>
      </c>
      <c r="F281" s="23">
        <v>4</v>
      </c>
      <c r="G281" s="24">
        <v>0</v>
      </c>
    </row>
    <row r="282" spans="1:7" x14ac:dyDescent="0.25">
      <c r="A282" s="2" t="s">
        <v>53</v>
      </c>
      <c r="B282" s="3" t="s">
        <v>53</v>
      </c>
      <c r="C282" s="46" t="s">
        <v>76</v>
      </c>
      <c r="D282" s="105" t="s">
        <v>844</v>
      </c>
      <c r="E282" s="105"/>
      <c r="F282" s="47">
        <v>4</v>
      </c>
      <c r="G282" s="48" t="s">
        <v>53</v>
      </c>
    </row>
    <row r="283" spans="1:7" x14ac:dyDescent="0.25">
      <c r="A283" s="2" t="s">
        <v>845</v>
      </c>
      <c r="B283" s="3" t="s">
        <v>846</v>
      </c>
      <c r="C283" s="75" t="s">
        <v>847</v>
      </c>
      <c r="D283" s="75"/>
      <c r="E283" s="3" t="s">
        <v>68</v>
      </c>
      <c r="F283" s="23">
        <v>3</v>
      </c>
      <c r="G283" s="24">
        <v>0</v>
      </c>
    </row>
    <row r="284" spans="1:7" x14ac:dyDescent="0.25">
      <c r="A284" s="2" t="s">
        <v>53</v>
      </c>
      <c r="B284" s="3" t="s">
        <v>53</v>
      </c>
      <c r="C284" s="46" t="s">
        <v>848</v>
      </c>
      <c r="D284" s="105" t="s">
        <v>849</v>
      </c>
      <c r="E284" s="105"/>
      <c r="F284" s="47">
        <v>3</v>
      </c>
      <c r="G284" s="48" t="s">
        <v>53</v>
      </c>
    </row>
    <row r="285" spans="1:7" x14ac:dyDescent="0.25">
      <c r="A285" s="2" t="s">
        <v>850</v>
      </c>
      <c r="B285" s="3" t="s">
        <v>851</v>
      </c>
      <c r="C285" s="75" t="s">
        <v>852</v>
      </c>
      <c r="D285" s="75"/>
      <c r="E285" s="3" t="s">
        <v>68</v>
      </c>
      <c r="F285" s="23">
        <v>1</v>
      </c>
      <c r="G285" s="24">
        <v>0</v>
      </c>
    </row>
    <row r="286" spans="1:7" x14ac:dyDescent="0.25">
      <c r="A286" s="2" t="s">
        <v>853</v>
      </c>
      <c r="B286" s="3" t="s">
        <v>854</v>
      </c>
      <c r="C286" s="75" t="s">
        <v>855</v>
      </c>
      <c r="D286" s="75"/>
      <c r="E286" s="3" t="s">
        <v>68</v>
      </c>
      <c r="F286" s="23">
        <v>1</v>
      </c>
      <c r="G286" s="24">
        <v>0</v>
      </c>
    </row>
    <row r="287" spans="1:7" x14ac:dyDescent="0.25">
      <c r="A287" s="2" t="s">
        <v>856</v>
      </c>
      <c r="B287" s="3" t="s">
        <v>857</v>
      </c>
      <c r="C287" s="75" t="s">
        <v>858</v>
      </c>
      <c r="D287" s="75"/>
      <c r="E287" s="3" t="s">
        <v>68</v>
      </c>
      <c r="F287" s="23">
        <v>4</v>
      </c>
      <c r="G287" s="24">
        <v>0</v>
      </c>
    </row>
    <row r="288" spans="1:7" x14ac:dyDescent="0.25">
      <c r="A288" s="2" t="s">
        <v>859</v>
      </c>
      <c r="B288" s="3" t="s">
        <v>857</v>
      </c>
      <c r="C288" s="75" t="s">
        <v>860</v>
      </c>
      <c r="D288" s="75"/>
      <c r="E288" s="3" t="s">
        <v>68</v>
      </c>
      <c r="F288" s="23">
        <v>3</v>
      </c>
      <c r="G288" s="24">
        <v>0</v>
      </c>
    </row>
    <row r="289" spans="1:8" x14ac:dyDescent="0.25">
      <c r="A289" s="45" t="s">
        <v>53</v>
      </c>
      <c r="B289" s="27" t="s">
        <v>861</v>
      </c>
      <c r="C289" s="99" t="s">
        <v>862</v>
      </c>
      <c r="D289" s="99"/>
      <c r="E289" s="27" t="s">
        <v>53</v>
      </c>
      <c r="F289" s="8" t="s">
        <v>53</v>
      </c>
      <c r="G289" s="29" t="s">
        <v>53</v>
      </c>
    </row>
    <row r="290" spans="1:8" x14ac:dyDescent="0.25">
      <c r="A290" s="2" t="s">
        <v>863</v>
      </c>
      <c r="B290" s="3" t="s">
        <v>864</v>
      </c>
      <c r="C290" s="75" t="s">
        <v>865</v>
      </c>
      <c r="D290" s="75"/>
      <c r="E290" s="3" t="s">
        <v>358</v>
      </c>
      <c r="F290" s="23">
        <v>2</v>
      </c>
      <c r="G290" s="24">
        <v>0</v>
      </c>
    </row>
    <row r="291" spans="1:8" x14ac:dyDescent="0.25">
      <c r="A291" s="2" t="s">
        <v>867</v>
      </c>
      <c r="B291" s="3" t="s">
        <v>868</v>
      </c>
      <c r="C291" s="75" t="s">
        <v>869</v>
      </c>
      <c r="D291" s="75"/>
      <c r="E291" s="3" t="s">
        <v>358</v>
      </c>
      <c r="F291" s="23">
        <v>3</v>
      </c>
      <c r="G291" s="24">
        <v>0</v>
      </c>
    </row>
    <row r="292" spans="1:8" x14ac:dyDescent="0.25">
      <c r="A292" s="2" t="s">
        <v>870</v>
      </c>
      <c r="B292" s="3" t="s">
        <v>871</v>
      </c>
      <c r="C292" s="75" t="s">
        <v>872</v>
      </c>
      <c r="D292" s="75"/>
      <c r="E292" s="3" t="s">
        <v>358</v>
      </c>
      <c r="F292" s="23">
        <v>1</v>
      </c>
      <c r="G292" s="24">
        <v>0</v>
      </c>
    </row>
    <row r="293" spans="1:8" x14ac:dyDescent="0.25">
      <c r="A293" s="2" t="s">
        <v>873</v>
      </c>
      <c r="B293" s="3" t="s">
        <v>874</v>
      </c>
      <c r="C293" s="75" t="s">
        <v>875</v>
      </c>
      <c r="D293" s="75"/>
      <c r="E293" s="3" t="s">
        <v>358</v>
      </c>
      <c r="F293" s="23">
        <v>1</v>
      </c>
      <c r="G293" s="24">
        <v>0</v>
      </c>
    </row>
    <row r="294" spans="1:8" x14ac:dyDescent="0.25">
      <c r="A294" s="2" t="s">
        <v>876</v>
      </c>
      <c r="B294" s="3" t="s">
        <v>877</v>
      </c>
      <c r="C294" s="75" t="s">
        <v>878</v>
      </c>
      <c r="D294" s="75"/>
      <c r="E294" s="3" t="s">
        <v>358</v>
      </c>
      <c r="F294" s="23">
        <v>1</v>
      </c>
      <c r="G294" s="24">
        <v>0</v>
      </c>
    </row>
    <row r="295" spans="1:8" x14ac:dyDescent="0.25">
      <c r="A295" s="2" t="s">
        <v>879</v>
      </c>
      <c r="B295" s="3" t="s">
        <v>880</v>
      </c>
      <c r="C295" s="75" t="s">
        <v>881</v>
      </c>
      <c r="D295" s="75"/>
      <c r="E295" s="3" t="s">
        <v>358</v>
      </c>
      <c r="F295" s="23">
        <v>1</v>
      </c>
      <c r="G295" s="24">
        <v>0</v>
      </c>
    </row>
    <row r="296" spans="1:8" x14ac:dyDescent="0.25">
      <c r="A296" s="2" t="s">
        <v>882</v>
      </c>
      <c r="B296" s="3" t="s">
        <v>883</v>
      </c>
      <c r="C296" s="75" t="s">
        <v>884</v>
      </c>
      <c r="D296" s="75"/>
      <c r="E296" s="3" t="s">
        <v>358</v>
      </c>
      <c r="F296" s="23">
        <v>2</v>
      </c>
      <c r="G296" s="24">
        <v>0</v>
      </c>
    </row>
    <row r="297" spans="1:8" x14ac:dyDescent="0.25">
      <c r="A297" s="2" t="s">
        <v>885</v>
      </c>
      <c r="B297" s="3" t="s">
        <v>886</v>
      </c>
      <c r="C297" s="75" t="s">
        <v>887</v>
      </c>
      <c r="D297" s="75"/>
      <c r="E297" s="3" t="s">
        <v>358</v>
      </c>
      <c r="F297" s="23">
        <v>1</v>
      </c>
      <c r="G297" s="24">
        <v>0</v>
      </c>
    </row>
    <row r="298" spans="1:8" x14ac:dyDescent="0.25">
      <c r="A298" s="45" t="s">
        <v>53</v>
      </c>
      <c r="B298" s="27" t="s">
        <v>888</v>
      </c>
      <c r="C298" s="99" t="s">
        <v>889</v>
      </c>
      <c r="D298" s="99"/>
      <c r="E298" s="27" t="s">
        <v>53</v>
      </c>
      <c r="F298" s="8" t="s">
        <v>53</v>
      </c>
      <c r="G298" s="29" t="s">
        <v>53</v>
      </c>
    </row>
    <row r="299" spans="1:8" x14ac:dyDescent="0.25">
      <c r="A299" s="2" t="s">
        <v>890</v>
      </c>
      <c r="B299" s="3" t="s">
        <v>891</v>
      </c>
      <c r="C299" s="75" t="s">
        <v>892</v>
      </c>
      <c r="D299" s="75"/>
      <c r="E299" s="3" t="s">
        <v>627</v>
      </c>
      <c r="F299" s="23">
        <v>1</v>
      </c>
      <c r="G299" s="24">
        <v>0</v>
      </c>
    </row>
    <row r="300" spans="1:8" x14ac:dyDescent="0.25">
      <c r="A300" s="34" t="s">
        <v>894</v>
      </c>
      <c r="B300" s="35" t="s">
        <v>895</v>
      </c>
      <c r="C300" s="101" t="s">
        <v>896</v>
      </c>
      <c r="D300" s="101"/>
      <c r="E300" s="35" t="s">
        <v>627</v>
      </c>
      <c r="F300" s="36">
        <v>3</v>
      </c>
      <c r="G300" s="37">
        <v>0</v>
      </c>
    </row>
    <row r="302" spans="1:8" x14ac:dyDescent="0.25">
      <c r="A302" s="39" t="s">
        <v>898</v>
      </c>
    </row>
    <row r="303" spans="1:8" ht="12.75" customHeight="1" x14ac:dyDescent="0.25">
      <c r="A303" s="80" t="s">
        <v>53</v>
      </c>
      <c r="B303" s="75"/>
      <c r="C303" s="75"/>
      <c r="D303" s="75"/>
      <c r="E303" s="75"/>
      <c r="F303" s="75"/>
      <c r="G303" s="75"/>
      <c r="H303" s="75"/>
    </row>
  </sheetData>
  <mergeCells count="309">
    <mergeCell ref="C299:D299"/>
    <mergeCell ref="C300:D300"/>
    <mergeCell ref="A303:H303"/>
    <mergeCell ref="C294:D294"/>
    <mergeCell ref="C295:D295"/>
    <mergeCell ref="C296:D296"/>
    <mergeCell ref="C297:D297"/>
    <mergeCell ref="C298:D298"/>
    <mergeCell ref="C289:D289"/>
    <mergeCell ref="C290:D290"/>
    <mergeCell ref="C291:D291"/>
    <mergeCell ref="C292:D292"/>
    <mergeCell ref="C293:D293"/>
    <mergeCell ref="D284:E284"/>
    <mergeCell ref="C285:D285"/>
    <mergeCell ref="C286:D286"/>
    <mergeCell ref="C287:D287"/>
    <mergeCell ref="C288:D288"/>
    <mergeCell ref="C279:D279"/>
    <mergeCell ref="C280:D280"/>
    <mergeCell ref="C281:D281"/>
    <mergeCell ref="D282:E282"/>
    <mergeCell ref="C283:D283"/>
    <mergeCell ref="C274:D274"/>
    <mergeCell ref="C275:D275"/>
    <mergeCell ref="C276:D276"/>
    <mergeCell ref="C277:D277"/>
    <mergeCell ref="C278:D278"/>
    <mergeCell ref="C269:D269"/>
    <mergeCell ref="C270:D270"/>
    <mergeCell ref="C271:D271"/>
    <mergeCell ref="C272:D272"/>
    <mergeCell ref="C273:D273"/>
    <mergeCell ref="C264:D264"/>
    <mergeCell ref="C265:D265"/>
    <mergeCell ref="C266:D266"/>
    <mergeCell ref="C267:D267"/>
    <mergeCell ref="C268:D268"/>
    <mergeCell ref="C259:D259"/>
    <mergeCell ref="C260:D260"/>
    <mergeCell ref="C261:D261"/>
    <mergeCell ref="C262:D262"/>
    <mergeCell ref="C263:D263"/>
    <mergeCell ref="C254:D254"/>
    <mergeCell ref="C255:D255"/>
    <mergeCell ref="C256:D256"/>
    <mergeCell ref="C257:D257"/>
    <mergeCell ref="C258:D258"/>
    <mergeCell ref="C249:D249"/>
    <mergeCell ref="C250:D250"/>
    <mergeCell ref="C251:D251"/>
    <mergeCell ref="C252:D252"/>
    <mergeCell ref="C253:D253"/>
    <mergeCell ref="C244:D244"/>
    <mergeCell ref="C245:D245"/>
    <mergeCell ref="C246:D246"/>
    <mergeCell ref="C247:D247"/>
    <mergeCell ref="C248:D248"/>
    <mergeCell ref="C239:D239"/>
    <mergeCell ref="C240:D240"/>
    <mergeCell ref="C241:D241"/>
    <mergeCell ref="C242:D242"/>
    <mergeCell ref="C243:D243"/>
    <mergeCell ref="C234:D234"/>
    <mergeCell ref="C235:D235"/>
    <mergeCell ref="C236:D236"/>
    <mergeCell ref="C237:D237"/>
    <mergeCell ref="C238:D238"/>
    <mergeCell ref="C229:D229"/>
    <mergeCell ref="C230:D230"/>
    <mergeCell ref="C231:D231"/>
    <mergeCell ref="C232:D232"/>
    <mergeCell ref="C233:D233"/>
    <mergeCell ref="C224:D224"/>
    <mergeCell ref="C225:D225"/>
    <mergeCell ref="C226:D226"/>
    <mergeCell ref="C227:D227"/>
    <mergeCell ref="C228:D228"/>
    <mergeCell ref="C219:D219"/>
    <mergeCell ref="C220:D220"/>
    <mergeCell ref="C221:D221"/>
    <mergeCell ref="C222:D222"/>
    <mergeCell ref="C223:D223"/>
    <mergeCell ref="C214:D214"/>
    <mergeCell ref="C215:D215"/>
    <mergeCell ref="C216:D216"/>
    <mergeCell ref="C217:D217"/>
    <mergeCell ref="C218:D218"/>
    <mergeCell ref="C209:D209"/>
    <mergeCell ref="C210:D210"/>
    <mergeCell ref="C211:D211"/>
    <mergeCell ref="C212:D212"/>
    <mergeCell ref="C213:D213"/>
    <mergeCell ref="C204:D204"/>
    <mergeCell ref="C205:D205"/>
    <mergeCell ref="C206:D206"/>
    <mergeCell ref="C207:D207"/>
    <mergeCell ref="C208:D208"/>
    <mergeCell ref="C199:D199"/>
    <mergeCell ref="C200:D200"/>
    <mergeCell ref="C201:D201"/>
    <mergeCell ref="C202:D202"/>
    <mergeCell ref="C203:D203"/>
    <mergeCell ref="C194:D194"/>
    <mergeCell ref="C195:D195"/>
    <mergeCell ref="C196:D196"/>
    <mergeCell ref="C197:D197"/>
    <mergeCell ref="C198:D198"/>
    <mergeCell ref="C189:D189"/>
    <mergeCell ref="C190:D190"/>
    <mergeCell ref="C191:D191"/>
    <mergeCell ref="C192:D192"/>
    <mergeCell ref="C193:D193"/>
    <mergeCell ref="C184:D184"/>
    <mergeCell ref="C185:D185"/>
    <mergeCell ref="C186:D186"/>
    <mergeCell ref="C187:D187"/>
    <mergeCell ref="C188:D188"/>
    <mergeCell ref="C179:D179"/>
    <mergeCell ref="C180:D180"/>
    <mergeCell ref="C181:D181"/>
    <mergeCell ref="C182:D182"/>
    <mergeCell ref="D183:E183"/>
    <mergeCell ref="C174:D174"/>
    <mergeCell ref="C175:D175"/>
    <mergeCell ref="C176:D176"/>
    <mergeCell ref="C177:D177"/>
    <mergeCell ref="C178:D178"/>
    <mergeCell ref="C169:D169"/>
    <mergeCell ref="D170:E170"/>
    <mergeCell ref="C171:D171"/>
    <mergeCell ref="C172:D172"/>
    <mergeCell ref="D173:E173"/>
    <mergeCell ref="C164:D164"/>
    <mergeCell ref="C165:D165"/>
    <mergeCell ref="C166:D166"/>
    <mergeCell ref="C167:D167"/>
    <mergeCell ref="C168:D168"/>
    <mergeCell ref="C159:D159"/>
    <mergeCell ref="C160:D160"/>
    <mergeCell ref="C161:D161"/>
    <mergeCell ref="C162:D162"/>
    <mergeCell ref="C163:D163"/>
    <mergeCell ref="C154:D154"/>
    <mergeCell ref="C155:D155"/>
    <mergeCell ref="C156:D156"/>
    <mergeCell ref="C157:D157"/>
    <mergeCell ref="C158:D158"/>
    <mergeCell ref="C149:D149"/>
    <mergeCell ref="C150:D150"/>
    <mergeCell ref="C151:D151"/>
    <mergeCell ref="C152:D152"/>
    <mergeCell ref="C153:D153"/>
    <mergeCell ref="C144:D144"/>
    <mergeCell ref="C145:D145"/>
    <mergeCell ref="C146:D146"/>
    <mergeCell ref="C147:D147"/>
    <mergeCell ref="C148:D148"/>
    <mergeCell ref="C139:D139"/>
    <mergeCell ref="C140:D140"/>
    <mergeCell ref="C141:D141"/>
    <mergeCell ref="C142:D142"/>
    <mergeCell ref="C143:D143"/>
    <mergeCell ref="C134:D134"/>
    <mergeCell ref="C135:D135"/>
    <mergeCell ref="C136:D136"/>
    <mergeCell ref="C137:D137"/>
    <mergeCell ref="C138:D138"/>
    <mergeCell ref="C129:D129"/>
    <mergeCell ref="C130:D130"/>
    <mergeCell ref="C131:D131"/>
    <mergeCell ref="C132:D132"/>
    <mergeCell ref="C133:D133"/>
    <mergeCell ref="C124:D124"/>
    <mergeCell ref="C125:D125"/>
    <mergeCell ref="C126:D126"/>
    <mergeCell ref="C127:D127"/>
    <mergeCell ref="C128:D128"/>
    <mergeCell ref="C119:D119"/>
    <mergeCell ref="C120:D120"/>
    <mergeCell ref="C121:D121"/>
    <mergeCell ref="C122:D122"/>
    <mergeCell ref="C123:D123"/>
    <mergeCell ref="D114:E114"/>
    <mergeCell ref="C115:D115"/>
    <mergeCell ref="C116:D116"/>
    <mergeCell ref="C117:D117"/>
    <mergeCell ref="C118:D118"/>
    <mergeCell ref="C109:D109"/>
    <mergeCell ref="C110:D110"/>
    <mergeCell ref="C111:D111"/>
    <mergeCell ref="C112:D112"/>
    <mergeCell ref="C113:D113"/>
    <mergeCell ref="C104:D104"/>
    <mergeCell ref="D105:E105"/>
    <mergeCell ref="C106:D106"/>
    <mergeCell ref="C107:D107"/>
    <mergeCell ref="C108:D108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D98:E9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79:D79"/>
    <mergeCell ref="C80:D80"/>
    <mergeCell ref="C81:D81"/>
    <mergeCell ref="C82:D82"/>
    <mergeCell ref="C83:D83"/>
    <mergeCell ref="D74:E74"/>
    <mergeCell ref="C75:D75"/>
    <mergeCell ref="C76:D76"/>
    <mergeCell ref="C77:D77"/>
    <mergeCell ref="C78:D7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D21:E21"/>
    <mergeCell ref="C22:D22"/>
    <mergeCell ref="C23:D23"/>
    <mergeCell ref="C14:D14"/>
    <mergeCell ref="C15:D15"/>
    <mergeCell ref="C16:D16"/>
    <mergeCell ref="C17:D17"/>
    <mergeCell ref="C18:D18"/>
    <mergeCell ref="E8:G9"/>
    <mergeCell ref="C10:D10"/>
    <mergeCell ref="C11:D11"/>
    <mergeCell ref="C12:D12"/>
    <mergeCell ref="C13:D13"/>
    <mergeCell ref="A1:G1"/>
    <mergeCell ref="A2:A3"/>
    <mergeCell ref="A4:A5"/>
    <mergeCell ref="A6:A7"/>
    <mergeCell ref="A8:A9"/>
    <mergeCell ref="D2:D3"/>
    <mergeCell ref="D4:D5"/>
    <mergeCell ref="D6:D7"/>
    <mergeCell ref="D8:D9"/>
    <mergeCell ref="B2:C3"/>
    <mergeCell ref="B4:C5"/>
    <mergeCell ref="B6:C7"/>
    <mergeCell ref="B8:C9"/>
    <mergeCell ref="E2:G3"/>
    <mergeCell ref="E4:G5"/>
    <mergeCell ref="E6:G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6" t="s">
        <v>901</v>
      </c>
      <c r="B1" s="71"/>
      <c r="C1" s="71"/>
      <c r="D1" s="71"/>
      <c r="E1" s="71"/>
      <c r="F1" s="71"/>
      <c r="G1" s="71"/>
      <c r="H1" s="71"/>
      <c r="I1" s="71"/>
    </row>
    <row r="2" spans="1:9" x14ac:dyDescent="0.25">
      <c r="A2" s="72" t="s">
        <v>1</v>
      </c>
      <c r="B2" s="73"/>
      <c r="C2" s="81" t="str">
        <f>'Stavební rozpočet'!C2</f>
        <v>Rekonstrukce plynové kotelny</v>
      </c>
      <c r="D2" s="82"/>
      <c r="E2" s="79" t="s">
        <v>5</v>
      </c>
      <c r="F2" s="79" t="str">
        <f>'Stavební rozpočet'!I2</f>
        <v>Město Bohumín, Masarykova158, 735 81 Bohumín</v>
      </c>
      <c r="G2" s="73"/>
      <c r="H2" s="79" t="s">
        <v>902</v>
      </c>
      <c r="I2" s="93" t="s">
        <v>903</v>
      </c>
    </row>
    <row r="3" spans="1:9" ht="15" customHeight="1" x14ac:dyDescent="0.25">
      <c r="A3" s="74"/>
      <c r="B3" s="75"/>
      <c r="C3" s="83"/>
      <c r="D3" s="83"/>
      <c r="E3" s="75"/>
      <c r="F3" s="75"/>
      <c r="G3" s="75"/>
      <c r="H3" s="75"/>
      <c r="I3" s="94"/>
    </row>
    <row r="4" spans="1:9" x14ac:dyDescent="0.25">
      <c r="A4" s="76" t="s">
        <v>7</v>
      </c>
      <c r="B4" s="75"/>
      <c r="C4" s="80" t="str">
        <f>'Stavební rozpočet'!C4</f>
        <v>Občanská vybavenost</v>
      </c>
      <c r="D4" s="75"/>
      <c r="E4" s="80" t="s">
        <v>11</v>
      </c>
      <c r="F4" s="80" t="str">
        <f>'Stavební rozpočet'!I4</f>
        <v>Ing Stanislav Wilczek</v>
      </c>
      <c r="G4" s="75"/>
      <c r="H4" s="80" t="s">
        <v>902</v>
      </c>
      <c r="I4" s="94" t="s">
        <v>53</v>
      </c>
    </row>
    <row r="5" spans="1:9" ht="15" customHeight="1" x14ac:dyDescent="0.25">
      <c r="A5" s="74"/>
      <c r="B5" s="75"/>
      <c r="C5" s="75"/>
      <c r="D5" s="75"/>
      <c r="E5" s="75"/>
      <c r="F5" s="75"/>
      <c r="G5" s="75"/>
      <c r="H5" s="75"/>
      <c r="I5" s="94"/>
    </row>
    <row r="6" spans="1:9" x14ac:dyDescent="0.25">
      <c r="A6" s="76" t="s">
        <v>13</v>
      </c>
      <c r="B6" s="75"/>
      <c r="C6" s="80" t="str">
        <f>'Stavební rozpočet'!C6</f>
        <v>1. Máje 217, Bohumín-Skřečoň</v>
      </c>
      <c r="D6" s="75"/>
      <c r="E6" s="80" t="s">
        <v>16</v>
      </c>
      <c r="F6" s="80" t="str">
        <f>'Stavební rozpočet'!I6</f>
        <v> </v>
      </c>
      <c r="G6" s="75"/>
      <c r="H6" s="80" t="s">
        <v>902</v>
      </c>
      <c r="I6" s="94" t="s">
        <v>53</v>
      </c>
    </row>
    <row r="7" spans="1:9" ht="15" customHeight="1" x14ac:dyDescent="0.25">
      <c r="A7" s="74"/>
      <c r="B7" s="75"/>
      <c r="C7" s="75"/>
      <c r="D7" s="75"/>
      <c r="E7" s="75"/>
      <c r="F7" s="75"/>
      <c r="G7" s="75"/>
      <c r="H7" s="75"/>
      <c r="I7" s="94"/>
    </row>
    <row r="8" spans="1:9" x14ac:dyDescent="0.25">
      <c r="A8" s="76" t="s">
        <v>9</v>
      </c>
      <c r="B8" s="75"/>
      <c r="C8" s="80" t="str">
        <f>'Stavební rozpočet'!G4</f>
        <v xml:space="preserve"> </v>
      </c>
      <c r="D8" s="75"/>
      <c r="E8" s="80" t="s">
        <v>15</v>
      </c>
      <c r="F8" s="80"/>
      <c r="G8" s="75"/>
      <c r="H8" s="75" t="s">
        <v>904</v>
      </c>
      <c r="I8" s="107">
        <v>247</v>
      </c>
    </row>
    <row r="9" spans="1:9" x14ac:dyDescent="0.25">
      <c r="A9" s="74"/>
      <c r="B9" s="75"/>
      <c r="C9" s="75"/>
      <c r="D9" s="75"/>
      <c r="E9" s="75"/>
      <c r="F9" s="75"/>
      <c r="G9" s="75"/>
      <c r="H9" s="75"/>
      <c r="I9" s="94"/>
    </row>
    <row r="10" spans="1:9" x14ac:dyDescent="0.25">
      <c r="A10" s="76" t="s">
        <v>18</v>
      </c>
      <c r="B10" s="75"/>
      <c r="C10" s="80" t="str">
        <f>'Stavební rozpočet'!C8</f>
        <v xml:space="preserve"> </v>
      </c>
      <c r="D10" s="75"/>
      <c r="E10" s="80" t="s">
        <v>21</v>
      </c>
      <c r="F10" s="80" t="str">
        <f>'Stavební rozpočet'!I8</f>
        <v>Ing. Stanislav Wilczek</v>
      </c>
      <c r="G10" s="75"/>
      <c r="H10" s="75" t="s">
        <v>905</v>
      </c>
      <c r="I10" s="108" t="str">
        <f>'Stavební rozpočet'!G8</f>
        <v>02.12.2024</v>
      </c>
    </row>
    <row r="11" spans="1:9" x14ac:dyDescent="0.25">
      <c r="A11" s="113"/>
      <c r="B11" s="101"/>
      <c r="C11" s="101"/>
      <c r="D11" s="101"/>
      <c r="E11" s="101"/>
      <c r="F11" s="101"/>
      <c r="G11" s="101"/>
      <c r="H11" s="101"/>
      <c r="I11" s="109"/>
    </row>
    <row r="12" spans="1:9" ht="23.25" x14ac:dyDescent="0.25">
      <c r="A12" s="110" t="s">
        <v>906</v>
      </c>
      <c r="B12" s="110"/>
      <c r="C12" s="110"/>
      <c r="D12" s="110"/>
      <c r="E12" s="110"/>
      <c r="F12" s="110"/>
      <c r="G12" s="110"/>
      <c r="H12" s="110"/>
      <c r="I12" s="110"/>
    </row>
    <row r="13" spans="1:9" ht="26.25" customHeight="1" x14ac:dyDescent="0.25">
      <c r="A13" s="49" t="s">
        <v>907</v>
      </c>
      <c r="B13" s="111" t="s">
        <v>908</v>
      </c>
      <c r="C13" s="112"/>
      <c r="D13" s="50" t="s">
        <v>909</v>
      </c>
      <c r="E13" s="111" t="s">
        <v>910</v>
      </c>
      <c r="F13" s="112"/>
      <c r="G13" s="50" t="s">
        <v>911</v>
      </c>
      <c r="H13" s="111" t="s">
        <v>912</v>
      </c>
      <c r="I13" s="112"/>
    </row>
    <row r="14" spans="1:9" ht="15.75" x14ac:dyDescent="0.25">
      <c r="A14" s="51" t="s">
        <v>913</v>
      </c>
      <c r="B14" s="52" t="s">
        <v>914</v>
      </c>
      <c r="C14" s="53">
        <f>SUM('Stavební rozpočet'!AB12:AB301)</f>
        <v>0</v>
      </c>
      <c r="D14" s="120" t="s">
        <v>915</v>
      </c>
      <c r="E14" s="121"/>
      <c r="F14" s="53">
        <f>VORN!I15</f>
        <v>0</v>
      </c>
      <c r="G14" s="120" t="s">
        <v>916</v>
      </c>
      <c r="H14" s="121"/>
      <c r="I14" s="54">
        <f>VORN!I21</f>
        <v>0</v>
      </c>
    </row>
    <row r="15" spans="1:9" ht="15.75" x14ac:dyDescent="0.25">
      <c r="A15" s="55" t="s">
        <v>53</v>
      </c>
      <c r="B15" s="52" t="s">
        <v>37</v>
      </c>
      <c r="C15" s="53">
        <f>SUM('Stavební rozpočet'!AC12:AC301)</f>
        <v>0</v>
      </c>
      <c r="D15" s="120" t="s">
        <v>917</v>
      </c>
      <c r="E15" s="121"/>
      <c r="F15" s="53">
        <f>VORN!I16</f>
        <v>0</v>
      </c>
      <c r="G15" s="120" t="s">
        <v>918</v>
      </c>
      <c r="H15" s="121"/>
      <c r="I15" s="54">
        <f>VORN!I22</f>
        <v>0</v>
      </c>
    </row>
    <row r="16" spans="1:9" ht="15.75" x14ac:dyDescent="0.25">
      <c r="A16" s="51" t="s">
        <v>919</v>
      </c>
      <c r="B16" s="52" t="s">
        <v>914</v>
      </c>
      <c r="C16" s="53">
        <f>SUM('Stavební rozpočet'!AD12:AD301)</f>
        <v>0</v>
      </c>
      <c r="D16" s="120" t="s">
        <v>920</v>
      </c>
      <c r="E16" s="121"/>
      <c r="F16" s="53">
        <f>VORN!I17</f>
        <v>0</v>
      </c>
      <c r="G16" s="120" t="s">
        <v>921</v>
      </c>
      <c r="H16" s="121"/>
      <c r="I16" s="54">
        <f>VORN!I23</f>
        <v>0</v>
      </c>
    </row>
    <row r="17" spans="1:9" ht="15.75" x14ac:dyDescent="0.25">
      <c r="A17" s="55" t="s">
        <v>53</v>
      </c>
      <c r="B17" s="52" t="s">
        <v>37</v>
      </c>
      <c r="C17" s="53">
        <f>SUM('Stavební rozpočet'!AE12:AE301)</f>
        <v>0</v>
      </c>
      <c r="D17" s="120" t="s">
        <v>53</v>
      </c>
      <c r="E17" s="121"/>
      <c r="F17" s="54" t="s">
        <v>53</v>
      </c>
      <c r="G17" s="120" t="s">
        <v>922</v>
      </c>
      <c r="H17" s="121"/>
      <c r="I17" s="54">
        <f>VORN!I24</f>
        <v>0</v>
      </c>
    </row>
    <row r="18" spans="1:9" ht="15.75" x14ac:dyDescent="0.25">
      <c r="A18" s="51" t="s">
        <v>923</v>
      </c>
      <c r="B18" s="52" t="s">
        <v>914</v>
      </c>
      <c r="C18" s="53">
        <f>SUM('Stavební rozpočet'!AF12:AF301)</f>
        <v>0</v>
      </c>
      <c r="D18" s="120" t="s">
        <v>53</v>
      </c>
      <c r="E18" s="121"/>
      <c r="F18" s="54" t="s">
        <v>53</v>
      </c>
      <c r="G18" s="120" t="s">
        <v>924</v>
      </c>
      <c r="H18" s="121"/>
      <c r="I18" s="54">
        <f>VORN!I25</f>
        <v>0</v>
      </c>
    </row>
    <row r="19" spans="1:9" ht="15.75" x14ac:dyDescent="0.25">
      <c r="A19" s="55" t="s">
        <v>53</v>
      </c>
      <c r="B19" s="52" t="s">
        <v>37</v>
      </c>
      <c r="C19" s="53">
        <f>SUM('Stavební rozpočet'!AG12:AG301)</f>
        <v>0</v>
      </c>
      <c r="D19" s="120" t="s">
        <v>53</v>
      </c>
      <c r="E19" s="121"/>
      <c r="F19" s="54" t="s">
        <v>53</v>
      </c>
      <c r="G19" s="120" t="s">
        <v>925</v>
      </c>
      <c r="H19" s="121"/>
      <c r="I19" s="54">
        <f>VORN!I26</f>
        <v>0</v>
      </c>
    </row>
    <row r="20" spans="1:9" ht="15.75" x14ac:dyDescent="0.25">
      <c r="A20" s="114" t="s">
        <v>926</v>
      </c>
      <c r="B20" s="115"/>
      <c r="C20" s="53">
        <f>SUM('Stavební rozpočet'!AH12:AH301)</f>
        <v>0</v>
      </c>
      <c r="D20" s="120" t="s">
        <v>53</v>
      </c>
      <c r="E20" s="121"/>
      <c r="F20" s="54" t="s">
        <v>53</v>
      </c>
      <c r="G20" s="120" t="s">
        <v>53</v>
      </c>
      <c r="H20" s="121"/>
      <c r="I20" s="54" t="s">
        <v>53</v>
      </c>
    </row>
    <row r="21" spans="1:9" ht="15.75" x14ac:dyDescent="0.25">
      <c r="A21" s="116" t="s">
        <v>927</v>
      </c>
      <c r="B21" s="117"/>
      <c r="C21" s="56">
        <f>SUM('Stavební rozpočet'!Z12:Z301)</f>
        <v>0</v>
      </c>
      <c r="D21" s="122" t="s">
        <v>53</v>
      </c>
      <c r="E21" s="123"/>
      <c r="F21" s="57" t="s">
        <v>53</v>
      </c>
      <c r="G21" s="122" t="s">
        <v>53</v>
      </c>
      <c r="H21" s="123"/>
      <c r="I21" s="57" t="s">
        <v>53</v>
      </c>
    </row>
    <row r="22" spans="1:9" ht="16.5" customHeight="1" x14ac:dyDescent="0.25">
      <c r="A22" s="118" t="s">
        <v>928</v>
      </c>
      <c r="B22" s="119"/>
      <c r="C22" s="58">
        <f>ROUND(SUM(C14:C21),0)</f>
        <v>0</v>
      </c>
      <c r="D22" s="124" t="s">
        <v>929</v>
      </c>
      <c r="E22" s="119"/>
      <c r="F22" s="58">
        <f>SUM(F14:F21)</f>
        <v>0</v>
      </c>
      <c r="G22" s="124" t="s">
        <v>930</v>
      </c>
      <c r="H22" s="119"/>
      <c r="I22" s="58">
        <f>SUM(I14:I21)</f>
        <v>0</v>
      </c>
    </row>
    <row r="23" spans="1:9" ht="15.75" x14ac:dyDescent="0.25">
      <c r="D23" s="114" t="s">
        <v>931</v>
      </c>
      <c r="E23" s="115"/>
      <c r="F23" s="59">
        <v>0</v>
      </c>
      <c r="G23" s="125" t="s">
        <v>932</v>
      </c>
      <c r="H23" s="115"/>
      <c r="I23" s="53">
        <v>0</v>
      </c>
    </row>
    <row r="24" spans="1:9" ht="15.75" x14ac:dyDescent="0.25">
      <c r="G24" s="114" t="s">
        <v>933</v>
      </c>
      <c r="H24" s="115"/>
      <c r="I24" s="56">
        <f>vorn_sum</f>
        <v>0</v>
      </c>
    </row>
    <row r="25" spans="1:9" ht="15.75" x14ac:dyDescent="0.25">
      <c r="G25" s="114" t="s">
        <v>934</v>
      </c>
      <c r="H25" s="115"/>
      <c r="I25" s="58">
        <v>0</v>
      </c>
    </row>
    <row r="27" spans="1:9" ht="15.75" x14ac:dyDescent="0.25">
      <c r="A27" s="126" t="s">
        <v>935</v>
      </c>
      <c r="B27" s="127"/>
      <c r="C27" s="60">
        <f>ROUND(SUM('Stavební rozpočet'!AJ12:AJ301),0)</f>
        <v>0</v>
      </c>
    </row>
    <row r="28" spans="1:9" ht="15.75" x14ac:dyDescent="0.25">
      <c r="A28" s="128" t="s">
        <v>936</v>
      </c>
      <c r="B28" s="129"/>
      <c r="C28" s="61">
        <f>ROUND(SUM('Stavební rozpočet'!AK12:AK301),0)</f>
        <v>0</v>
      </c>
      <c r="D28" s="130" t="s">
        <v>937</v>
      </c>
      <c r="E28" s="127"/>
      <c r="F28" s="60">
        <f>ROUND(C28*(12/100),2)</f>
        <v>0</v>
      </c>
      <c r="G28" s="130" t="s">
        <v>938</v>
      </c>
      <c r="H28" s="127"/>
      <c r="I28" s="60">
        <f>ROUND(SUM(C27:C29),0)</f>
        <v>0</v>
      </c>
    </row>
    <row r="29" spans="1:9" ht="15.75" x14ac:dyDescent="0.25">
      <c r="A29" s="128" t="s">
        <v>939</v>
      </c>
      <c r="B29" s="129"/>
      <c r="C29" s="61">
        <f>ROUND(SUM('Stavební rozpočet'!AL12:AL301)+(F22+I22+F23+I23+I24+I25),0)</f>
        <v>0</v>
      </c>
      <c r="D29" s="131" t="s">
        <v>940</v>
      </c>
      <c r="E29" s="129"/>
      <c r="F29" s="61">
        <f>ROUND(C29*(21/100),2)</f>
        <v>0</v>
      </c>
      <c r="G29" s="131" t="s">
        <v>941</v>
      </c>
      <c r="H29" s="129"/>
      <c r="I29" s="61">
        <f>ROUND(SUM(F28:F29)+I28,0)</f>
        <v>0</v>
      </c>
    </row>
    <row r="31" spans="1:9" x14ac:dyDescent="0.25">
      <c r="A31" s="141" t="s">
        <v>942</v>
      </c>
      <c r="B31" s="133"/>
      <c r="C31" s="134"/>
      <c r="D31" s="132" t="s">
        <v>943</v>
      </c>
      <c r="E31" s="133"/>
      <c r="F31" s="134"/>
      <c r="G31" s="132" t="s">
        <v>944</v>
      </c>
      <c r="H31" s="133"/>
      <c r="I31" s="134"/>
    </row>
    <row r="32" spans="1:9" x14ac:dyDescent="0.25">
      <c r="A32" s="142" t="s">
        <v>53</v>
      </c>
      <c r="B32" s="136"/>
      <c r="C32" s="137"/>
      <c r="D32" s="135" t="s">
        <v>53</v>
      </c>
      <c r="E32" s="136"/>
      <c r="F32" s="137"/>
      <c r="G32" s="135" t="s">
        <v>53</v>
      </c>
      <c r="H32" s="136"/>
      <c r="I32" s="137"/>
    </row>
    <row r="33" spans="1:9" x14ac:dyDescent="0.25">
      <c r="A33" s="142" t="s">
        <v>53</v>
      </c>
      <c r="B33" s="136"/>
      <c r="C33" s="137"/>
      <c r="D33" s="135" t="s">
        <v>53</v>
      </c>
      <c r="E33" s="136"/>
      <c r="F33" s="137"/>
      <c r="G33" s="135" t="s">
        <v>53</v>
      </c>
      <c r="H33" s="136"/>
      <c r="I33" s="137"/>
    </row>
    <row r="34" spans="1:9" x14ac:dyDescent="0.25">
      <c r="A34" s="142" t="s">
        <v>53</v>
      </c>
      <c r="B34" s="136"/>
      <c r="C34" s="137"/>
      <c r="D34" s="135" t="s">
        <v>53</v>
      </c>
      <c r="E34" s="136"/>
      <c r="F34" s="137"/>
      <c r="G34" s="135" t="s">
        <v>53</v>
      </c>
      <c r="H34" s="136"/>
      <c r="I34" s="137"/>
    </row>
    <row r="35" spans="1:9" x14ac:dyDescent="0.25">
      <c r="A35" s="143" t="s">
        <v>945</v>
      </c>
      <c r="B35" s="139"/>
      <c r="C35" s="140"/>
      <c r="D35" s="138" t="s">
        <v>945</v>
      </c>
      <c r="E35" s="139"/>
      <c r="F35" s="140"/>
      <c r="G35" s="138" t="s">
        <v>945</v>
      </c>
      <c r="H35" s="139"/>
      <c r="I35" s="140"/>
    </row>
    <row r="36" spans="1:9" x14ac:dyDescent="0.25">
      <c r="A36" s="62" t="s">
        <v>898</v>
      </c>
    </row>
    <row r="37" spans="1:9" ht="12.75" customHeight="1" x14ac:dyDescent="0.25">
      <c r="A37" s="80" t="s">
        <v>53</v>
      </c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F15" sqref="F1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6" t="s">
        <v>946</v>
      </c>
      <c r="B1" s="71"/>
      <c r="C1" s="71"/>
      <c r="D1" s="71"/>
      <c r="E1" s="71"/>
      <c r="F1" s="71"/>
      <c r="G1" s="71"/>
      <c r="H1" s="71"/>
      <c r="I1" s="71"/>
    </row>
    <row r="2" spans="1:9" x14ac:dyDescent="0.25">
      <c r="A2" s="72" t="s">
        <v>1</v>
      </c>
      <c r="B2" s="73"/>
      <c r="C2" s="81" t="str">
        <f>'Stavební rozpočet'!C2</f>
        <v>Rekonstrukce plynové kotelny</v>
      </c>
      <c r="D2" s="82"/>
      <c r="E2" s="79" t="s">
        <v>5</v>
      </c>
      <c r="F2" s="79" t="str">
        <f>'Stavební rozpočet'!I2</f>
        <v>Město Bohumín, Masarykova158, 735 81 Bohumín</v>
      </c>
      <c r="G2" s="73"/>
      <c r="H2" s="79" t="s">
        <v>902</v>
      </c>
      <c r="I2" s="93" t="s">
        <v>903</v>
      </c>
    </row>
    <row r="3" spans="1:9" ht="15" customHeight="1" x14ac:dyDescent="0.25">
      <c r="A3" s="74"/>
      <c r="B3" s="75"/>
      <c r="C3" s="83"/>
      <c r="D3" s="83"/>
      <c r="E3" s="75"/>
      <c r="F3" s="75"/>
      <c r="G3" s="75"/>
      <c r="H3" s="75"/>
      <c r="I3" s="94"/>
    </row>
    <row r="4" spans="1:9" x14ac:dyDescent="0.25">
      <c r="A4" s="76" t="s">
        <v>7</v>
      </c>
      <c r="B4" s="75"/>
      <c r="C4" s="80" t="str">
        <f>'Stavební rozpočet'!C4</f>
        <v>Občanská vybavenost</v>
      </c>
      <c r="D4" s="75"/>
      <c r="E4" s="80" t="s">
        <v>11</v>
      </c>
      <c r="F4" s="80" t="str">
        <f>'Stavební rozpočet'!I4</f>
        <v>Ing Stanislav Wilczek</v>
      </c>
      <c r="G4" s="75"/>
      <c r="H4" s="80" t="s">
        <v>902</v>
      </c>
      <c r="I4" s="94" t="s">
        <v>53</v>
      </c>
    </row>
    <row r="5" spans="1:9" ht="15" customHeight="1" x14ac:dyDescent="0.25">
      <c r="A5" s="74"/>
      <c r="B5" s="75"/>
      <c r="C5" s="75"/>
      <c r="D5" s="75"/>
      <c r="E5" s="75"/>
      <c r="F5" s="75"/>
      <c r="G5" s="75"/>
      <c r="H5" s="75"/>
      <c r="I5" s="94"/>
    </row>
    <row r="6" spans="1:9" x14ac:dyDescent="0.25">
      <c r="A6" s="76" t="s">
        <v>13</v>
      </c>
      <c r="B6" s="75"/>
      <c r="C6" s="80" t="str">
        <f>'Stavební rozpočet'!C6</f>
        <v>1. Máje 217, Bohumín-Skřečoň</v>
      </c>
      <c r="D6" s="75"/>
      <c r="E6" s="80" t="s">
        <v>16</v>
      </c>
      <c r="F6" s="80" t="str">
        <f>'Stavební rozpočet'!I6</f>
        <v> </v>
      </c>
      <c r="G6" s="75"/>
      <c r="H6" s="80" t="s">
        <v>902</v>
      </c>
      <c r="I6" s="94" t="s">
        <v>53</v>
      </c>
    </row>
    <row r="7" spans="1:9" ht="15" customHeight="1" x14ac:dyDescent="0.25">
      <c r="A7" s="74"/>
      <c r="B7" s="75"/>
      <c r="C7" s="75"/>
      <c r="D7" s="75"/>
      <c r="E7" s="75"/>
      <c r="F7" s="75"/>
      <c r="G7" s="75"/>
      <c r="H7" s="75"/>
      <c r="I7" s="94"/>
    </row>
    <row r="8" spans="1:9" x14ac:dyDescent="0.25">
      <c r="A8" s="76" t="s">
        <v>9</v>
      </c>
      <c r="B8" s="75"/>
      <c r="C8" s="80" t="str">
        <f>'Stavební rozpočet'!G4</f>
        <v xml:space="preserve"> </v>
      </c>
      <c r="D8" s="75"/>
      <c r="E8" s="80" t="s">
        <v>15</v>
      </c>
      <c r="F8" s="80"/>
      <c r="G8" s="75"/>
      <c r="H8" s="75" t="s">
        <v>904</v>
      </c>
      <c r="I8" s="107">
        <v>247</v>
      </c>
    </row>
    <row r="9" spans="1:9" x14ac:dyDescent="0.25">
      <c r="A9" s="74"/>
      <c r="B9" s="75"/>
      <c r="C9" s="75"/>
      <c r="D9" s="75"/>
      <c r="E9" s="75"/>
      <c r="F9" s="75"/>
      <c r="G9" s="75"/>
      <c r="H9" s="75"/>
      <c r="I9" s="94"/>
    </row>
    <row r="10" spans="1:9" x14ac:dyDescent="0.25">
      <c r="A10" s="76" t="s">
        <v>18</v>
      </c>
      <c r="B10" s="75"/>
      <c r="C10" s="80" t="str">
        <f>'Stavební rozpočet'!C8</f>
        <v xml:space="preserve"> </v>
      </c>
      <c r="D10" s="75"/>
      <c r="E10" s="80" t="s">
        <v>21</v>
      </c>
      <c r="F10" s="80" t="str">
        <f>'Stavební rozpočet'!I8</f>
        <v>Ing. Stanislav Wilczek</v>
      </c>
      <c r="G10" s="75"/>
      <c r="H10" s="75" t="s">
        <v>905</v>
      </c>
      <c r="I10" s="108" t="str">
        <f>'Stavební rozpočet'!G8</f>
        <v>02.12.2024</v>
      </c>
    </row>
    <row r="11" spans="1:9" x14ac:dyDescent="0.25">
      <c r="A11" s="113"/>
      <c r="B11" s="101"/>
      <c r="C11" s="101"/>
      <c r="D11" s="101"/>
      <c r="E11" s="101"/>
      <c r="F11" s="101"/>
      <c r="G11" s="101"/>
      <c r="H11" s="101"/>
      <c r="I11" s="109"/>
    </row>
    <row r="13" spans="1:9" ht="15.75" x14ac:dyDescent="0.25">
      <c r="A13" s="144" t="s">
        <v>947</v>
      </c>
      <c r="B13" s="144"/>
      <c r="C13" s="144"/>
      <c r="D13" s="144"/>
      <c r="E13" s="144"/>
    </row>
    <row r="14" spans="1:9" x14ac:dyDescent="0.25">
      <c r="A14" s="145" t="s">
        <v>948</v>
      </c>
      <c r="B14" s="146"/>
      <c r="C14" s="146"/>
      <c r="D14" s="146"/>
      <c r="E14" s="147"/>
      <c r="F14" s="63" t="s">
        <v>949</v>
      </c>
      <c r="G14" s="63" t="s">
        <v>950</v>
      </c>
      <c r="H14" s="63" t="s">
        <v>951</v>
      </c>
      <c r="I14" s="63" t="s">
        <v>949</v>
      </c>
    </row>
    <row r="15" spans="1:9" x14ac:dyDescent="0.25">
      <c r="A15" s="148" t="s">
        <v>915</v>
      </c>
      <c r="B15" s="149"/>
      <c r="C15" s="149"/>
      <c r="D15" s="149"/>
      <c r="E15" s="150"/>
      <c r="F15" s="64">
        <v>0</v>
      </c>
      <c r="G15" s="65" t="s">
        <v>53</v>
      </c>
      <c r="H15" s="65"/>
      <c r="I15" s="64">
        <f>F15</f>
        <v>0</v>
      </c>
    </row>
    <row r="16" spans="1:9" x14ac:dyDescent="0.25">
      <c r="A16" s="148" t="s">
        <v>917</v>
      </c>
      <c r="B16" s="149"/>
      <c r="C16" s="149"/>
      <c r="D16" s="149"/>
      <c r="E16" s="150"/>
      <c r="F16" s="64">
        <v>0</v>
      </c>
      <c r="G16" s="65" t="s">
        <v>53</v>
      </c>
      <c r="H16" s="65" t="s">
        <v>53</v>
      </c>
      <c r="I16" s="64">
        <f>F16</f>
        <v>0</v>
      </c>
    </row>
    <row r="17" spans="1:9" x14ac:dyDescent="0.25">
      <c r="A17" s="151" t="s">
        <v>920</v>
      </c>
      <c r="B17" s="152"/>
      <c r="C17" s="152"/>
      <c r="D17" s="152"/>
      <c r="E17" s="153"/>
      <c r="F17" s="66">
        <v>0</v>
      </c>
      <c r="G17" s="67" t="s">
        <v>53</v>
      </c>
      <c r="H17" s="67" t="s">
        <v>53</v>
      </c>
      <c r="I17" s="66">
        <f>F17</f>
        <v>0</v>
      </c>
    </row>
    <row r="18" spans="1:9" x14ac:dyDescent="0.25">
      <c r="A18" s="154" t="s">
        <v>952</v>
      </c>
      <c r="B18" s="155"/>
      <c r="C18" s="155"/>
      <c r="D18" s="155"/>
      <c r="E18" s="156"/>
      <c r="F18" s="68" t="s">
        <v>53</v>
      </c>
      <c r="G18" s="69" t="s">
        <v>53</v>
      </c>
      <c r="H18" s="69" t="s">
        <v>53</v>
      </c>
      <c r="I18" s="70">
        <f>SUM(I15:I17)</f>
        <v>0</v>
      </c>
    </row>
    <row r="20" spans="1:9" x14ac:dyDescent="0.25">
      <c r="A20" s="145" t="s">
        <v>912</v>
      </c>
      <c r="B20" s="146"/>
      <c r="C20" s="146"/>
      <c r="D20" s="146"/>
      <c r="E20" s="147"/>
      <c r="F20" s="63" t="s">
        <v>949</v>
      </c>
      <c r="G20" s="63" t="s">
        <v>950</v>
      </c>
      <c r="H20" s="63" t="s">
        <v>951</v>
      </c>
      <c r="I20" s="63" t="s">
        <v>949</v>
      </c>
    </row>
    <row r="21" spans="1:9" x14ac:dyDescent="0.25">
      <c r="A21" s="148" t="s">
        <v>916</v>
      </c>
      <c r="B21" s="149"/>
      <c r="C21" s="149"/>
      <c r="D21" s="149"/>
      <c r="E21" s="150"/>
      <c r="F21" s="64">
        <v>0</v>
      </c>
      <c r="G21" s="65" t="s">
        <v>53</v>
      </c>
      <c r="H21" s="65" t="s">
        <v>53</v>
      </c>
      <c r="I21" s="64">
        <f t="shared" ref="I21:I26" si="0">F21</f>
        <v>0</v>
      </c>
    </row>
    <row r="22" spans="1:9" x14ac:dyDescent="0.25">
      <c r="A22" s="148" t="s">
        <v>918</v>
      </c>
      <c r="B22" s="149"/>
      <c r="C22" s="149"/>
      <c r="D22" s="149"/>
      <c r="E22" s="150"/>
      <c r="F22" s="64">
        <v>0</v>
      </c>
      <c r="G22" s="65" t="s">
        <v>53</v>
      </c>
      <c r="H22" s="65" t="s">
        <v>53</v>
      </c>
      <c r="I22" s="64">
        <f t="shared" si="0"/>
        <v>0</v>
      </c>
    </row>
    <row r="23" spans="1:9" x14ac:dyDescent="0.25">
      <c r="A23" s="148" t="s">
        <v>921</v>
      </c>
      <c r="B23" s="149"/>
      <c r="C23" s="149"/>
      <c r="D23" s="149"/>
      <c r="E23" s="150"/>
      <c r="F23" s="64">
        <v>0</v>
      </c>
      <c r="G23" s="65" t="s">
        <v>53</v>
      </c>
      <c r="H23" s="65" t="s">
        <v>53</v>
      </c>
      <c r="I23" s="64">
        <f t="shared" si="0"/>
        <v>0</v>
      </c>
    </row>
    <row r="24" spans="1:9" x14ac:dyDescent="0.25">
      <c r="A24" s="148" t="s">
        <v>922</v>
      </c>
      <c r="B24" s="149"/>
      <c r="C24" s="149"/>
      <c r="D24" s="149"/>
      <c r="E24" s="150"/>
      <c r="F24" s="64">
        <v>0</v>
      </c>
      <c r="G24" s="65" t="s">
        <v>53</v>
      </c>
      <c r="H24" s="65" t="s">
        <v>53</v>
      </c>
      <c r="I24" s="64">
        <f t="shared" si="0"/>
        <v>0</v>
      </c>
    </row>
    <row r="25" spans="1:9" x14ac:dyDescent="0.25">
      <c r="A25" s="148" t="s">
        <v>924</v>
      </c>
      <c r="B25" s="149"/>
      <c r="C25" s="149"/>
      <c r="D25" s="149"/>
      <c r="E25" s="150"/>
      <c r="F25" s="64">
        <v>0</v>
      </c>
      <c r="G25" s="65" t="s">
        <v>53</v>
      </c>
      <c r="H25" s="65" t="s">
        <v>53</v>
      </c>
      <c r="I25" s="64">
        <f t="shared" si="0"/>
        <v>0</v>
      </c>
    </row>
    <row r="26" spans="1:9" x14ac:dyDescent="0.25">
      <c r="A26" s="151" t="s">
        <v>925</v>
      </c>
      <c r="B26" s="152"/>
      <c r="C26" s="152"/>
      <c r="D26" s="152"/>
      <c r="E26" s="153"/>
      <c r="F26" s="66">
        <v>0</v>
      </c>
      <c r="G26" s="67" t="s">
        <v>53</v>
      </c>
      <c r="H26" s="67" t="s">
        <v>53</v>
      </c>
      <c r="I26" s="66">
        <f t="shared" si="0"/>
        <v>0</v>
      </c>
    </row>
    <row r="27" spans="1:9" x14ac:dyDescent="0.25">
      <c r="A27" s="154" t="s">
        <v>953</v>
      </c>
      <c r="B27" s="155"/>
      <c r="C27" s="155"/>
      <c r="D27" s="155"/>
      <c r="E27" s="156"/>
      <c r="F27" s="68" t="s">
        <v>53</v>
      </c>
      <c r="G27" s="69" t="s">
        <v>53</v>
      </c>
      <c r="H27" s="69" t="s">
        <v>53</v>
      </c>
      <c r="I27" s="70">
        <f>SUM(I21:I26)</f>
        <v>0</v>
      </c>
    </row>
    <row r="29" spans="1:9" ht="15.75" x14ac:dyDescent="0.25">
      <c r="A29" s="157" t="s">
        <v>954</v>
      </c>
      <c r="B29" s="158"/>
      <c r="C29" s="158"/>
      <c r="D29" s="158"/>
      <c r="E29" s="159"/>
      <c r="F29" s="160">
        <f>I18+I27</f>
        <v>0</v>
      </c>
      <c r="G29" s="161"/>
      <c r="H29" s="161"/>
      <c r="I29" s="162"/>
    </row>
    <row r="33" spans="1:9" ht="15.75" x14ac:dyDescent="0.25">
      <c r="A33" s="144" t="s">
        <v>955</v>
      </c>
      <c r="B33" s="144"/>
      <c r="C33" s="144"/>
      <c r="D33" s="144"/>
      <c r="E33" s="144"/>
    </row>
    <row r="34" spans="1:9" x14ac:dyDescent="0.25">
      <c r="A34" s="145" t="s">
        <v>956</v>
      </c>
      <c r="B34" s="146"/>
      <c r="C34" s="146"/>
      <c r="D34" s="146"/>
      <c r="E34" s="147"/>
      <c r="F34" s="63" t="s">
        <v>949</v>
      </c>
      <c r="G34" s="63" t="s">
        <v>950</v>
      </c>
      <c r="H34" s="63" t="s">
        <v>951</v>
      </c>
      <c r="I34" s="63" t="s">
        <v>949</v>
      </c>
    </row>
    <row r="35" spans="1:9" x14ac:dyDescent="0.25">
      <c r="A35" s="151" t="s">
        <v>53</v>
      </c>
      <c r="B35" s="152"/>
      <c r="C35" s="152"/>
      <c r="D35" s="152"/>
      <c r="E35" s="153"/>
      <c r="F35" s="66">
        <v>0</v>
      </c>
      <c r="G35" s="67" t="s">
        <v>53</v>
      </c>
      <c r="H35" s="67" t="s">
        <v>53</v>
      </c>
      <c r="I35" s="66">
        <f>F35</f>
        <v>0</v>
      </c>
    </row>
    <row r="36" spans="1:9" x14ac:dyDescent="0.25">
      <c r="A36" s="154" t="s">
        <v>957</v>
      </c>
      <c r="B36" s="155"/>
      <c r="C36" s="155"/>
      <c r="D36" s="155"/>
      <c r="E36" s="156"/>
      <c r="F36" s="68" t="s">
        <v>53</v>
      </c>
      <c r="G36" s="69" t="s">
        <v>53</v>
      </c>
      <c r="H36" s="69" t="s">
        <v>53</v>
      </c>
      <c r="I36" s="70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Výkaz výměr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Lorenc Michal</cp:lastModifiedBy>
  <dcterms:created xsi:type="dcterms:W3CDTF">2021-06-10T20:06:38Z</dcterms:created>
  <dcterms:modified xsi:type="dcterms:W3CDTF">2025-02-06T06:36:10Z</dcterms:modified>
</cp:coreProperties>
</file>